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060" windowHeight="5130" activeTab="0"/>
  </bookViews>
  <sheets>
    <sheet name="S鼓风机" sheetId="1" r:id="rId1"/>
    <sheet name="S真空泵" sheetId="2" r:id="rId2"/>
  </sheets>
  <definedNames>
    <definedName name="_xlnm.Print_Area" localSheetId="0">'S鼓风机'!$A$1:$AF$115</definedName>
    <definedName name="_xlnm.Print_Area" localSheetId="1">'S真空泵'!$A$1:$AG$117</definedName>
  </definedNames>
  <calcPr fullCalcOnLoad="1"/>
</workbook>
</file>

<file path=xl/sharedStrings.xml><?xml version="1.0" encoding="utf-8"?>
<sst xmlns="http://schemas.openxmlformats.org/spreadsheetml/2006/main" count="355" uniqueCount="111">
  <si>
    <t>Qth</t>
  </si>
  <si>
    <t>29.4kPa</t>
  </si>
  <si>
    <t>39.2kPa</t>
  </si>
  <si>
    <t>49.0kPa</t>
  </si>
  <si>
    <t>58.8kPa</t>
  </si>
  <si>
    <t>68.6kPa</t>
  </si>
  <si>
    <t>78.4kPa</t>
  </si>
  <si>
    <t>88.2kPa</t>
  </si>
  <si>
    <t>98.0kPa</t>
  </si>
  <si>
    <t>Type</t>
  </si>
  <si>
    <t>型号</t>
  </si>
  <si>
    <t>Speed</t>
  </si>
  <si>
    <t>Thero volume</t>
  </si>
  <si>
    <t>r/min</t>
  </si>
  <si>
    <t>n</t>
  </si>
  <si>
    <t>S11</t>
  </si>
  <si>
    <t>S12</t>
  </si>
  <si>
    <t>S13</t>
  </si>
  <si>
    <t>S21</t>
  </si>
  <si>
    <t>S23</t>
  </si>
  <si>
    <t>S41</t>
  </si>
  <si>
    <t>S42</t>
  </si>
  <si>
    <t>S51</t>
  </si>
  <si>
    <t>S52</t>
  </si>
  <si>
    <t>口径</t>
  </si>
  <si>
    <t>mm</t>
  </si>
  <si>
    <r>
      <t>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</t>
    </r>
  </si>
  <si>
    <t>Motor   pole</t>
  </si>
  <si>
    <t xml:space="preserve"> </t>
  </si>
  <si>
    <t>Bore</t>
  </si>
  <si>
    <t>S22</t>
  </si>
  <si>
    <t>S31</t>
  </si>
  <si>
    <t>S32</t>
  </si>
  <si>
    <t>S33</t>
  </si>
  <si>
    <t>转速</t>
  </si>
  <si>
    <t>理论流量</t>
  </si>
  <si>
    <t>电机</t>
  </si>
  <si>
    <t>极数</t>
  </si>
  <si>
    <t>19.6kPa</t>
  </si>
  <si>
    <t xml:space="preserve"> </t>
  </si>
  <si>
    <t>S11V</t>
  </si>
  <si>
    <t>S12V</t>
  </si>
  <si>
    <t>S13V</t>
  </si>
  <si>
    <t>S21V</t>
  </si>
  <si>
    <t>S22V</t>
  </si>
  <si>
    <t>S23V</t>
  </si>
  <si>
    <t>S31V</t>
  </si>
  <si>
    <t>S32V</t>
  </si>
  <si>
    <t>S33V</t>
  </si>
  <si>
    <t>S41V</t>
  </si>
  <si>
    <t>S42V</t>
  </si>
  <si>
    <t>S51V</t>
  </si>
  <si>
    <t>S52V</t>
  </si>
  <si>
    <t>-39.2kPa</t>
  </si>
  <si>
    <t>-9.8kPa</t>
  </si>
  <si>
    <t>-14.7kPa</t>
  </si>
  <si>
    <t>-19.6kPa</t>
  </si>
  <si>
    <t>-24.5kPa</t>
  </si>
  <si>
    <t>-29.4kPa</t>
  </si>
  <si>
    <t>-34.3kPa</t>
  </si>
  <si>
    <t>-44.1kPa</t>
  </si>
  <si>
    <t>-49kPa</t>
  </si>
  <si>
    <r>
      <t>Q</t>
    </r>
    <r>
      <rPr>
        <vertAlign val="subscript"/>
        <sz val="28"/>
        <rFont val="Times New Roman"/>
        <family val="1"/>
      </rPr>
      <t>th</t>
    </r>
  </si>
  <si>
    <r>
      <t>Q</t>
    </r>
    <r>
      <rPr>
        <vertAlign val="subscript"/>
        <sz val="28"/>
        <rFont val="Times New Roman"/>
        <family val="1"/>
      </rPr>
      <t>s</t>
    </r>
  </si>
  <si>
    <r>
      <t>L</t>
    </r>
    <r>
      <rPr>
        <vertAlign val="subscript"/>
        <sz val="28"/>
        <rFont val="Times New Roman"/>
        <family val="1"/>
      </rPr>
      <t>a</t>
    </r>
  </si>
  <si>
    <r>
      <t>P</t>
    </r>
    <r>
      <rPr>
        <vertAlign val="subscript"/>
        <sz val="28"/>
        <rFont val="Times New Roman"/>
        <family val="1"/>
      </rPr>
      <t>o</t>
    </r>
  </si>
  <si>
    <r>
      <t>各排气压力下的进口流量</t>
    </r>
    <r>
      <rPr>
        <sz val="36"/>
        <rFont val="Times New Roman"/>
        <family val="1"/>
      </rPr>
      <t>Q</t>
    </r>
    <r>
      <rPr>
        <vertAlign val="subscript"/>
        <sz val="36"/>
        <rFont val="Times New Roman"/>
        <family val="1"/>
      </rPr>
      <t>s</t>
    </r>
    <r>
      <rPr>
        <sz val="36"/>
        <rFont val="Times New Roman"/>
        <family val="1"/>
      </rPr>
      <t>(m</t>
    </r>
    <r>
      <rPr>
        <vertAlign val="superscript"/>
        <sz val="36"/>
        <rFont val="Times New Roman"/>
        <family val="1"/>
      </rPr>
      <t>3</t>
    </r>
    <r>
      <rPr>
        <sz val="36"/>
        <rFont val="Times New Roman"/>
        <family val="1"/>
      </rPr>
      <t>/min)</t>
    </r>
    <r>
      <rPr>
        <sz val="36"/>
        <rFont val="宋体"/>
        <family val="0"/>
      </rPr>
      <t>、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轴功率</t>
    </r>
    <r>
      <rPr>
        <sz val="36"/>
        <rFont val="Times New Roman"/>
        <family val="1"/>
      </rPr>
      <t>L</t>
    </r>
    <r>
      <rPr>
        <vertAlign val="subscript"/>
        <sz val="36"/>
        <rFont val="Times New Roman"/>
        <family val="1"/>
      </rPr>
      <t>a</t>
    </r>
    <r>
      <rPr>
        <sz val="36"/>
        <rFont val="Times New Roman"/>
        <family val="1"/>
      </rPr>
      <t>(kW)</t>
    </r>
    <r>
      <rPr>
        <sz val="36"/>
        <rFont val="宋体"/>
        <family val="0"/>
      </rPr>
      <t>及所配电机功率</t>
    </r>
    <r>
      <rPr>
        <sz val="36"/>
        <rFont val="Times New Roman"/>
        <family val="1"/>
      </rPr>
      <t>P</t>
    </r>
    <r>
      <rPr>
        <vertAlign val="subscript"/>
        <sz val="36"/>
        <rFont val="Times New Roman"/>
        <family val="1"/>
      </rPr>
      <t>o</t>
    </r>
    <r>
      <rPr>
        <sz val="36"/>
        <rFont val="Times New Roman"/>
        <family val="1"/>
      </rPr>
      <t>(kW)  Inlet volume Q</t>
    </r>
    <r>
      <rPr>
        <vertAlign val="subscript"/>
        <sz val="36"/>
        <rFont val="Times New Roman"/>
        <family val="1"/>
      </rPr>
      <t>s</t>
    </r>
    <r>
      <rPr>
        <sz val="36"/>
        <rFont val="Times New Roman"/>
        <family val="1"/>
      </rPr>
      <t>(m3/min) shaft power required L</t>
    </r>
    <r>
      <rPr>
        <vertAlign val="subscript"/>
        <sz val="36"/>
        <rFont val="Times New Roman"/>
        <family val="1"/>
      </rPr>
      <t>a</t>
    </r>
    <r>
      <rPr>
        <sz val="36"/>
        <rFont val="Times New Roman"/>
        <family val="1"/>
      </rPr>
      <t xml:space="preserve"> (kW) and motor power P</t>
    </r>
    <r>
      <rPr>
        <vertAlign val="subscript"/>
        <sz val="36"/>
        <rFont val="Times New Roman"/>
        <family val="1"/>
      </rPr>
      <t>o</t>
    </r>
    <r>
      <rPr>
        <sz val="36"/>
        <rFont val="Times New Roman"/>
        <family val="1"/>
      </rPr>
      <t xml:space="preserve">(kW)  </t>
    </r>
  </si>
  <si>
    <t>型号</t>
  </si>
  <si>
    <t>转速</t>
  </si>
  <si>
    <t>理论流量</t>
  </si>
  <si>
    <r>
      <t>各排气压力下的进口流量</t>
    </r>
    <r>
      <rPr>
        <sz val="28"/>
        <rFont val="Times New Roman"/>
        <family val="1"/>
      </rPr>
      <t>Q</t>
    </r>
    <r>
      <rPr>
        <vertAlign val="subscript"/>
        <sz val="28"/>
        <rFont val="Times New Roman"/>
        <family val="1"/>
      </rPr>
      <t>s</t>
    </r>
    <r>
      <rPr>
        <sz val="28"/>
        <rFont val="Times New Roman"/>
        <family val="1"/>
      </rPr>
      <t>(m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/min)</t>
    </r>
    <r>
      <rPr>
        <sz val="28"/>
        <rFont val="宋体"/>
        <family val="0"/>
      </rPr>
      <t>、</t>
    </r>
    <r>
      <rPr>
        <sz val="28"/>
        <rFont val="Times New Roman"/>
        <family val="1"/>
      </rPr>
      <t xml:space="preserve"> </t>
    </r>
    <r>
      <rPr>
        <sz val="28"/>
        <rFont val="宋体"/>
        <family val="0"/>
      </rPr>
      <t>轴功率</t>
    </r>
    <r>
      <rPr>
        <sz val="28"/>
        <rFont val="Times New Roman"/>
        <family val="1"/>
      </rPr>
      <t>L</t>
    </r>
    <r>
      <rPr>
        <vertAlign val="subscript"/>
        <sz val="28"/>
        <rFont val="Times New Roman"/>
        <family val="1"/>
      </rPr>
      <t>a</t>
    </r>
    <r>
      <rPr>
        <sz val="28"/>
        <rFont val="Times New Roman"/>
        <family val="1"/>
      </rPr>
      <t>(kW)</t>
    </r>
    <r>
      <rPr>
        <sz val="28"/>
        <rFont val="宋体"/>
        <family val="0"/>
      </rPr>
      <t>及所配电机功率</t>
    </r>
    <r>
      <rPr>
        <sz val="28"/>
        <rFont val="Times New Roman"/>
        <family val="1"/>
      </rPr>
      <t>P</t>
    </r>
    <r>
      <rPr>
        <vertAlign val="subscript"/>
        <sz val="28"/>
        <rFont val="Times New Roman"/>
        <family val="1"/>
      </rPr>
      <t>o</t>
    </r>
    <r>
      <rPr>
        <sz val="28"/>
        <rFont val="Times New Roman"/>
        <family val="1"/>
      </rPr>
      <t>(kW)  Inlet volume Q</t>
    </r>
    <r>
      <rPr>
        <vertAlign val="subscript"/>
        <sz val="28"/>
        <rFont val="Times New Roman"/>
        <family val="1"/>
      </rPr>
      <t>s</t>
    </r>
    <r>
      <rPr>
        <sz val="28"/>
        <rFont val="Times New Roman"/>
        <family val="1"/>
      </rPr>
      <t>(m3/min) shaft power required L</t>
    </r>
    <r>
      <rPr>
        <vertAlign val="subscript"/>
        <sz val="28"/>
        <rFont val="Times New Roman"/>
        <family val="1"/>
      </rPr>
      <t>a</t>
    </r>
    <r>
      <rPr>
        <sz val="28"/>
        <rFont val="Times New Roman"/>
        <family val="1"/>
      </rPr>
      <t xml:space="preserve"> (kW) and motor power P</t>
    </r>
    <r>
      <rPr>
        <vertAlign val="subscript"/>
        <sz val="28"/>
        <rFont val="Times New Roman"/>
        <family val="1"/>
      </rPr>
      <t>o</t>
    </r>
    <r>
      <rPr>
        <sz val="28"/>
        <rFont val="Times New Roman"/>
        <family val="1"/>
      </rPr>
      <t xml:space="preserve">(kW)  </t>
    </r>
  </si>
  <si>
    <t>电机</t>
  </si>
  <si>
    <t>Speed</t>
  </si>
  <si>
    <t>极数</t>
  </si>
  <si>
    <t>Type</t>
  </si>
  <si>
    <t>Bore</t>
  </si>
  <si>
    <t>r/min</t>
  </si>
  <si>
    <r>
      <t>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</t>
    </r>
  </si>
  <si>
    <t>29.4kPa</t>
  </si>
  <si>
    <t>39.2kPa</t>
  </si>
  <si>
    <t>49.0kPa</t>
  </si>
  <si>
    <t>58.8kPa</t>
  </si>
  <si>
    <t>68.6kPa</t>
  </si>
  <si>
    <t>78.4kPa</t>
  </si>
  <si>
    <t>88.2kPa</t>
  </si>
  <si>
    <t>98.0kPa</t>
  </si>
  <si>
    <t>mm</t>
  </si>
  <si>
    <t>n</t>
  </si>
  <si>
    <t>Thero volume</t>
  </si>
  <si>
    <t>Qth</t>
  </si>
  <si>
    <r>
      <t>各真空度下的进口流量</t>
    </r>
    <r>
      <rPr>
        <sz val="28"/>
        <rFont val="Times New Roman"/>
        <family val="1"/>
      </rPr>
      <t>Q</t>
    </r>
    <r>
      <rPr>
        <vertAlign val="subscript"/>
        <sz val="28"/>
        <rFont val="Times New Roman"/>
        <family val="1"/>
      </rPr>
      <t>s</t>
    </r>
    <r>
      <rPr>
        <sz val="28"/>
        <rFont val="Times New Roman"/>
        <family val="1"/>
      </rPr>
      <t>(m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/min)</t>
    </r>
    <r>
      <rPr>
        <sz val="28"/>
        <rFont val="宋体"/>
        <family val="0"/>
      </rPr>
      <t>、</t>
    </r>
    <r>
      <rPr>
        <sz val="28"/>
        <rFont val="Times New Roman"/>
        <family val="1"/>
      </rPr>
      <t xml:space="preserve"> </t>
    </r>
    <r>
      <rPr>
        <sz val="28"/>
        <rFont val="宋体"/>
        <family val="0"/>
      </rPr>
      <t>轴功率</t>
    </r>
    <r>
      <rPr>
        <sz val="28"/>
        <rFont val="Times New Roman"/>
        <family val="1"/>
      </rPr>
      <t>L</t>
    </r>
    <r>
      <rPr>
        <vertAlign val="subscript"/>
        <sz val="28"/>
        <rFont val="Times New Roman"/>
        <family val="1"/>
      </rPr>
      <t>a</t>
    </r>
    <r>
      <rPr>
        <sz val="28"/>
        <rFont val="Times New Roman"/>
        <family val="1"/>
      </rPr>
      <t>(kW)</t>
    </r>
    <r>
      <rPr>
        <sz val="28"/>
        <rFont val="宋体"/>
        <family val="0"/>
      </rPr>
      <t>及所配电机功率</t>
    </r>
    <r>
      <rPr>
        <sz val="28"/>
        <rFont val="Times New Roman"/>
        <family val="1"/>
      </rPr>
      <t>P</t>
    </r>
    <r>
      <rPr>
        <vertAlign val="subscript"/>
        <sz val="28"/>
        <rFont val="Times New Roman"/>
        <family val="1"/>
      </rPr>
      <t>o</t>
    </r>
    <r>
      <rPr>
        <sz val="28"/>
        <rFont val="Times New Roman"/>
        <family val="1"/>
      </rPr>
      <t>(kW)    Inlet volume Q</t>
    </r>
    <r>
      <rPr>
        <vertAlign val="subscript"/>
        <sz val="28"/>
        <rFont val="Times New Roman"/>
        <family val="1"/>
      </rPr>
      <t>s</t>
    </r>
    <r>
      <rPr>
        <sz val="28"/>
        <rFont val="Times New Roman"/>
        <family val="1"/>
      </rPr>
      <t>(m3/min) shaft power required L</t>
    </r>
    <r>
      <rPr>
        <vertAlign val="subscript"/>
        <sz val="28"/>
        <rFont val="Times New Roman"/>
        <family val="1"/>
      </rPr>
      <t>a</t>
    </r>
    <r>
      <rPr>
        <sz val="28"/>
        <rFont val="Times New Roman"/>
        <family val="1"/>
      </rPr>
      <t xml:space="preserve"> (kW) and motor power P</t>
    </r>
    <r>
      <rPr>
        <vertAlign val="subscript"/>
        <sz val="28"/>
        <rFont val="Times New Roman"/>
        <family val="1"/>
      </rPr>
      <t>o</t>
    </r>
    <r>
      <rPr>
        <sz val="28"/>
        <rFont val="Times New Roman"/>
        <family val="1"/>
      </rPr>
      <t xml:space="preserve">(kW)  </t>
    </r>
  </si>
  <si>
    <t>-9.8kPa</t>
  </si>
  <si>
    <t>-14.7kPa</t>
  </si>
  <si>
    <t>-19.6kPa</t>
  </si>
  <si>
    <t>-24.5kPa</t>
  </si>
  <si>
    <t>-29.4kPa</t>
  </si>
  <si>
    <t>-34.3kPa</t>
  </si>
  <si>
    <t>-39.2kPa</t>
  </si>
  <si>
    <t>-44.1kPa</t>
  </si>
  <si>
    <t>-49kPa</t>
  </si>
  <si>
    <r>
      <t>S</t>
    </r>
    <r>
      <rPr>
        <sz val="72"/>
        <rFont val="黑体"/>
        <family val="0"/>
      </rPr>
      <t>系列罗茨鼓风机性能表</t>
    </r>
    <r>
      <rPr>
        <sz val="72"/>
        <rFont val="Times New Roman"/>
        <family val="1"/>
      </rPr>
      <t xml:space="preserve">(1)  Performance Table of Series S Roots Blowers                                                                                  </t>
    </r>
    <r>
      <rPr>
        <sz val="48"/>
        <rFont val="黑体"/>
        <family val="0"/>
      </rPr>
      <t>表</t>
    </r>
    <r>
      <rPr>
        <sz val="48"/>
        <rFont val="Times New Roman"/>
        <family val="1"/>
      </rPr>
      <t>1</t>
    </r>
    <r>
      <rPr>
        <sz val="72"/>
        <rFont val="Times New Roman"/>
        <family val="1"/>
      </rPr>
      <t xml:space="preserve">                                                                 </t>
    </r>
  </si>
  <si>
    <r>
      <t>S</t>
    </r>
    <r>
      <rPr>
        <sz val="72"/>
        <rFont val="黑体"/>
        <family val="0"/>
      </rPr>
      <t>系列罗茨鼓风机性能表</t>
    </r>
    <r>
      <rPr>
        <sz val="72"/>
        <rFont val="Times New Roman"/>
        <family val="1"/>
      </rPr>
      <t xml:space="preserve">(2)  Performance Table of Series S Roots Blowers                                                                                  </t>
    </r>
    <r>
      <rPr>
        <sz val="48"/>
        <rFont val="黑体"/>
        <family val="0"/>
      </rPr>
      <t>表</t>
    </r>
    <r>
      <rPr>
        <sz val="48"/>
        <rFont val="Times New Roman"/>
        <family val="1"/>
      </rPr>
      <t>1</t>
    </r>
    <r>
      <rPr>
        <sz val="72"/>
        <rFont val="Times New Roman"/>
        <family val="1"/>
      </rPr>
      <t xml:space="preserve">                                                                 </t>
    </r>
  </si>
  <si>
    <r>
      <t>S</t>
    </r>
    <r>
      <rPr>
        <sz val="72"/>
        <rFont val="黑体"/>
        <family val="0"/>
      </rPr>
      <t>系列罗茨鼓风机性能表</t>
    </r>
    <r>
      <rPr>
        <sz val="72"/>
        <rFont val="Times New Roman"/>
        <family val="1"/>
      </rPr>
      <t xml:space="preserve">(3)  Performance Table of Series S Roots Blowers                                                                                  </t>
    </r>
    <r>
      <rPr>
        <sz val="48"/>
        <rFont val="黑体"/>
        <family val="0"/>
      </rPr>
      <t>表</t>
    </r>
    <r>
      <rPr>
        <sz val="48"/>
        <rFont val="Times New Roman"/>
        <family val="1"/>
      </rPr>
      <t>1</t>
    </r>
    <r>
      <rPr>
        <sz val="72"/>
        <rFont val="Times New Roman"/>
        <family val="1"/>
      </rPr>
      <t xml:space="preserve">                                                                 </t>
    </r>
  </si>
  <si>
    <r>
      <t>S-V</t>
    </r>
    <r>
      <rPr>
        <sz val="72"/>
        <rFont val="黑体"/>
        <family val="0"/>
      </rPr>
      <t>系列罗茨真空泵性能表</t>
    </r>
    <r>
      <rPr>
        <sz val="72"/>
        <rFont val="Times New Roman"/>
        <family val="1"/>
      </rPr>
      <t xml:space="preserve">(1)    Performance Table of Series S-V Roots Vacuum Pumps                                                                                   </t>
    </r>
    <r>
      <rPr>
        <sz val="48"/>
        <rFont val="黑体"/>
        <family val="0"/>
      </rPr>
      <t>表</t>
    </r>
    <r>
      <rPr>
        <sz val="48"/>
        <rFont val="Times New Roman"/>
        <family val="1"/>
      </rPr>
      <t>1</t>
    </r>
    <r>
      <rPr>
        <sz val="72"/>
        <rFont val="Times New Roman"/>
        <family val="1"/>
      </rPr>
      <t xml:space="preserve">                                                                 </t>
    </r>
  </si>
  <si>
    <r>
      <t>S-V</t>
    </r>
    <r>
      <rPr>
        <sz val="72"/>
        <rFont val="黑体"/>
        <family val="0"/>
      </rPr>
      <t>系列罗茨真空泵性能表</t>
    </r>
    <r>
      <rPr>
        <sz val="72"/>
        <rFont val="Times New Roman"/>
        <family val="1"/>
      </rPr>
      <t xml:space="preserve">(2)    Performance Table of Series S-V Roots Vacuum Pumps                                                                                   </t>
    </r>
    <r>
      <rPr>
        <sz val="48"/>
        <rFont val="黑体"/>
        <family val="0"/>
      </rPr>
      <t>表</t>
    </r>
    <r>
      <rPr>
        <sz val="48"/>
        <rFont val="Times New Roman"/>
        <family val="1"/>
      </rPr>
      <t>1</t>
    </r>
    <r>
      <rPr>
        <sz val="72"/>
        <rFont val="Times New Roman"/>
        <family val="1"/>
      </rPr>
      <t xml:space="preserve">                                                                 </t>
    </r>
  </si>
  <si>
    <r>
      <t>S-V</t>
    </r>
    <r>
      <rPr>
        <sz val="72"/>
        <rFont val="黑体"/>
        <family val="0"/>
      </rPr>
      <t>系列罗茨真空泵性能表</t>
    </r>
    <r>
      <rPr>
        <sz val="72"/>
        <rFont val="Times New Roman"/>
        <family val="1"/>
      </rPr>
      <t xml:space="preserve">(3)    Performance Table of Series S-V Roots Vacuum Pumps                                                                                   </t>
    </r>
    <r>
      <rPr>
        <sz val="48"/>
        <rFont val="黑体"/>
        <family val="0"/>
      </rPr>
      <t>表</t>
    </r>
    <r>
      <rPr>
        <sz val="48"/>
        <rFont val="Times New Roman"/>
        <family val="1"/>
      </rPr>
      <t>1</t>
    </r>
    <r>
      <rPr>
        <sz val="72"/>
        <rFont val="Times New Roman"/>
        <family val="1"/>
      </rPr>
      <t xml:space="preserve">                                                                 </t>
    </r>
  </si>
  <si>
    <t>Thero volume</t>
  </si>
  <si>
    <t>型号</t>
  </si>
  <si>
    <t>转速</t>
  </si>
  <si>
    <t>理论流量</t>
  </si>
  <si>
    <r>
      <t>各真空度下的进口流量</t>
    </r>
    <r>
      <rPr>
        <sz val="28"/>
        <rFont val="Times New Roman"/>
        <family val="1"/>
      </rPr>
      <t>Q</t>
    </r>
    <r>
      <rPr>
        <vertAlign val="subscript"/>
        <sz val="28"/>
        <rFont val="Times New Roman"/>
        <family val="1"/>
      </rPr>
      <t>s</t>
    </r>
    <r>
      <rPr>
        <sz val="28"/>
        <rFont val="Times New Roman"/>
        <family val="1"/>
      </rPr>
      <t>(m</t>
    </r>
    <r>
      <rPr>
        <vertAlign val="superscript"/>
        <sz val="28"/>
        <rFont val="Times New Roman"/>
        <family val="1"/>
      </rPr>
      <t>3</t>
    </r>
    <r>
      <rPr>
        <sz val="28"/>
        <rFont val="Times New Roman"/>
        <family val="1"/>
      </rPr>
      <t>/min)</t>
    </r>
    <r>
      <rPr>
        <sz val="28"/>
        <rFont val="宋体"/>
        <family val="0"/>
      </rPr>
      <t>、</t>
    </r>
    <r>
      <rPr>
        <sz val="28"/>
        <rFont val="Times New Roman"/>
        <family val="1"/>
      </rPr>
      <t xml:space="preserve"> </t>
    </r>
    <r>
      <rPr>
        <sz val="28"/>
        <rFont val="宋体"/>
        <family val="0"/>
      </rPr>
      <t>轴功率</t>
    </r>
    <r>
      <rPr>
        <sz val="28"/>
        <rFont val="Times New Roman"/>
        <family val="1"/>
      </rPr>
      <t>L</t>
    </r>
    <r>
      <rPr>
        <vertAlign val="subscript"/>
        <sz val="28"/>
        <rFont val="Times New Roman"/>
        <family val="1"/>
      </rPr>
      <t>a</t>
    </r>
    <r>
      <rPr>
        <sz val="28"/>
        <rFont val="Times New Roman"/>
        <family val="1"/>
      </rPr>
      <t>(kW)</t>
    </r>
    <r>
      <rPr>
        <sz val="28"/>
        <rFont val="宋体"/>
        <family val="0"/>
      </rPr>
      <t>及所配电机功率</t>
    </r>
    <r>
      <rPr>
        <sz val="28"/>
        <rFont val="Times New Roman"/>
        <family val="1"/>
      </rPr>
      <t>P</t>
    </r>
    <r>
      <rPr>
        <vertAlign val="subscript"/>
        <sz val="28"/>
        <rFont val="Times New Roman"/>
        <family val="1"/>
      </rPr>
      <t>o</t>
    </r>
    <r>
      <rPr>
        <sz val="28"/>
        <rFont val="Times New Roman"/>
        <family val="1"/>
      </rPr>
      <t>(kW)    Inlet volume Q</t>
    </r>
    <r>
      <rPr>
        <vertAlign val="subscript"/>
        <sz val="28"/>
        <rFont val="Times New Roman"/>
        <family val="1"/>
      </rPr>
      <t>s</t>
    </r>
    <r>
      <rPr>
        <sz val="28"/>
        <rFont val="Times New Roman"/>
        <family val="1"/>
      </rPr>
      <t>(m3/min) shaft power required L</t>
    </r>
    <r>
      <rPr>
        <vertAlign val="subscript"/>
        <sz val="28"/>
        <rFont val="Times New Roman"/>
        <family val="1"/>
      </rPr>
      <t>a</t>
    </r>
    <r>
      <rPr>
        <sz val="28"/>
        <rFont val="Times New Roman"/>
        <family val="1"/>
      </rPr>
      <t xml:space="preserve"> (kW) and motor power P</t>
    </r>
    <r>
      <rPr>
        <vertAlign val="subscript"/>
        <sz val="28"/>
        <rFont val="Times New Roman"/>
        <family val="1"/>
      </rPr>
      <t>o</t>
    </r>
    <r>
      <rPr>
        <sz val="28"/>
        <rFont val="Times New Roman"/>
        <family val="1"/>
      </rPr>
      <t xml:space="preserve">(kW)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</si>
</sst>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  <numFmt numFmtId="180" formatCode="0_ "/>
    <numFmt numFmtId="181" formatCode="0_);[Red]\(0\)"/>
  </numFmts>
  <fonts count="18">
    <font>
      <sz val="12"/>
      <name val="宋体"/>
      <family val="0"/>
    </font>
    <font>
      <sz val="9"/>
      <name val="宋体"/>
      <family val="0"/>
    </font>
    <font>
      <sz val="36"/>
      <name val="宋体"/>
      <family val="0"/>
    </font>
    <font>
      <sz val="28"/>
      <name val="Times New Roman"/>
      <family val="1"/>
    </font>
    <font>
      <sz val="36"/>
      <name val="Times New Roman"/>
      <family val="1"/>
    </font>
    <font>
      <vertAlign val="superscript"/>
      <sz val="36"/>
      <name val="Times New Roman"/>
      <family val="1"/>
    </font>
    <font>
      <sz val="12"/>
      <name val="Times New Roman"/>
      <family val="1"/>
    </font>
    <font>
      <sz val="24"/>
      <name val="Times New Roman"/>
      <family val="1"/>
    </font>
    <font>
      <vertAlign val="superscript"/>
      <sz val="28"/>
      <name val="Times New Roman"/>
      <family val="1"/>
    </font>
    <font>
      <sz val="48"/>
      <name val="Times New Roman"/>
      <family val="1"/>
    </font>
    <font>
      <sz val="48"/>
      <name val="黑体"/>
      <family val="0"/>
    </font>
    <font>
      <sz val="72"/>
      <name val="Times New Roman"/>
      <family val="1"/>
    </font>
    <font>
      <sz val="72"/>
      <name val="黑体"/>
      <family val="0"/>
    </font>
    <font>
      <vertAlign val="subscript"/>
      <sz val="28"/>
      <name val="Times New Roman"/>
      <family val="1"/>
    </font>
    <font>
      <vertAlign val="subscript"/>
      <sz val="36"/>
      <name val="Times New Roman"/>
      <family val="1"/>
    </font>
    <font>
      <sz val="28"/>
      <color indexed="8"/>
      <name val="Times New Roman"/>
      <family val="1"/>
    </font>
    <font>
      <sz val="28"/>
      <name val="宋体"/>
      <family val="0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/>
    </xf>
    <xf numFmtId="179" fontId="3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78" fontId="3" fillId="0" borderId="4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1" fontId="3" fillId="0" borderId="4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78" fontId="3" fillId="0" borderId="4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/>
    </xf>
    <xf numFmtId="178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1" fontId="3" fillId="0" borderId="4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15" fillId="0" borderId="2" xfId="0" applyNumberFormat="1" applyFont="1" applyFill="1" applyBorder="1" applyAlignment="1">
      <alignment horizontal="center" vertical="center"/>
    </xf>
    <xf numFmtId="181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81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8" fontId="16" fillId="0" borderId="2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78" fontId="17" fillId="0" borderId="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78" fontId="16" fillId="0" borderId="2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78" fontId="17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6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58</xdr:row>
      <xdr:rowOff>0</xdr:rowOff>
    </xdr:from>
    <xdr:to>
      <xdr:col>28</xdr:col>
      <xdr:colOff>76200</xdr:colOff>
      <xdr:row>58</xdr:row>
      <xdr:rowOff>0</xdr:rowOff>
    </xdr:to>
    <xdr:sp>
      <xdr:nvSpPr>
        <xdr:cNvPr id="1" name="Line 3"/>
        <xdr:cNvSpPr>
          <a:spLocks/>
        </xdr:cNvSpPr>
      </xdr:nvSpPr>
      <xdr:spPr>
        <a:xfrm>
          <a:off x="32451675" y="35032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58</xdr:row>
      <xdr:rowOff>0</xdr:rowOff>
    </xdr:from>
    <xdr:to>
      <xdr:col>28</xdr:col>
      <xdr:colOff>76200</xdr:colOff>
      <xdr:row>58</xdr:row>
      <xdr:rowOff>0</xdr:rowOff>
    </xdr:to>
    <xdr:sp>
      <xdr:nvSpPr>
        <xdr:cNvPr id="2" name="Line 4"/>
        <xdr:cNvSpPr>
          <a:spLocks/>
        </xdr:cNvSpPr>
      </xdr:nvSpPr>
      <xdr:spPr>
        <a:xfrm>
          <a:off x="32451675" y="35032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65</xdr:row>
      <xdr:rowOff>0</xdr:rowOff>
    </xdr:from>
    <xdr:to>
      <xdr:col>28</xdr:col>
      <xdr:colOff>76200</xdr:colOff>
      <xdr:row>65</xdr:row>
      <xdr:rowOff>0</xdr:rowOff>
    </xdr:to>
    <xdr:sp>
      <xdr:nvSpPr>
        <xdr:cNvPr id="3" name="Line 5"/>
        <xdr:cNvSpPr>
          <a:spLocks/>
        </xdr:cNvSpPr>
      </xdr:nvSpPr>
      <xdr:spPr>
        <a:xfrm>
          <a:off x="32451675" y="390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65</xdr:row>
      <xdr:rowOff>0</xdr:rowOff>
    </xdr:from>
    <xdr:to>
      <xdr:col>28</xdr:col>
      <xdr:colOff>76200</xdr:colOff>
      <xdr:row>65</xdr:row>
      <xdr:rowOff>0</xdr:rowOff>
    </xdr:to>
    <xdr:sp>
      <xdr:nvSpPr>
        <xdr:cNvPr id="4" name="Line 6"/>
        <xdr:cNvSpPr>
          <a:spLocks/>
        </xdr:cNvSpPr>
      </xdr:nvSpPr>
      <xdr:spPr>
        <a:xfrm>
          <a:off x="32451675" y="390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72</xdr:row>
      <xdr:rowOff>0</xdr:rowOff>
    </xdr:from>
    <xdr:to>
      <xdr:col>28</xdr:col>
      <xdr:colOff>76200</xdr:colOff>
      <xdr:row>72</xdr:row>
      <xdr:rowOff>0</xdr:rowOff>
    </xdr:to>
    <xdr:sp>
      <xdr:nvSpPr>
        <xdr:cNvPr id="5" name="Line 7"/>
        <xdr:cNvSpPr>
          <a:spLocks/>
        </xdr:cNvSpPr>
      </xdr:nvSpPr>
      <xdr:spPr>
        <a:xfrm>
          <a:off x="32451675" y="43033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72</xdr:row>
      <xdr:rowOff>0</xdr:rowOff>
    </xdr:from>
    <xdr:to>
      <xdr:col>28</xdr:col>
      <xdr:colOff>76200</xdr:colOff>
      <xdr:row>72</xdr:row>
      <xdr:rowOff>0</xdr:rowOff>
    </xdr:to>
    <xdr:sp>
      <xdr:nvSpPr>
        <xdr:cNvPr id="6" name="Line 8"/>
        <xdr:cNvSpPr>
          <a:spLocks/>
        </xdr:cNvSpPr>
      </xdr:nvSpPr>
      <xdr:spPr>
        <a:xfrm>
          <a:off x="32451675" y="43033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85</xdr:row>
      <xdr:rowOff>0</xdr:rowOff>
    </xdr:from>
    <xdr:to>
      <xdr:col>28</xdr:col>
      <xdr:colOff>76200</xdr:colOff>
      <xdr:row>85</xdr:row>
      <xdr:rowOff>0</xdr:rowOff>
    </xdr:to>
    <xdr:sp>
      <xdr:nvSpPr>
        <xdr:cNvPr id="7" name="Line 9"/>
        <xdr:cNvSpPr>
          <a:spLocks/>
        </xdr:cNvSpPr>
      </xdr:nvSpPr>
      <xdr:spPr>
        <a:xfrm>
          <a:off x="32451675" y="51082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85</xdr:row>
      <xdr:rowOff>0</xdr:rowOff>
    </xdr:from>
    <xdr:to>
      <xdr:col>28</xdr:col>
      <xdr:colOff>76200</xdr:colOff>
      <xdr:row>85</xdr:row>
      <xdr:rowOff>0</xdr:rowOff>
    </xdr:to>
    <xdr:sp>
      <xdr:nvSpPr>
        <xdr:cNvPr id="8" name="Line 10"/>
        <xdr:cNvSpPr>
          <a:spLocks/>
        </xdr:cNvSpPr>
      </xdr:nvSpPr>
      <xdr:spPr>
        <a:xfrm>
          <a:off x="32451675" y="51082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93</xdr:row>
      <xdr:rowOff>0</xdr:rowOff>
    </xdr:from>
    <xdr:to>
      <xdr:col>28</xdr:col>
      <xdr:colOff>76200</xdr:colOff>
      <xdr:row>93</xdr:row>
      <xdr:rowOff>0</xdr:rowOff>
    </xdr:to>
    <xdr:sp>
      <xdr:nvSpPr>
        <xdr:cNvPr id="9" name="Line 11"/>
        <xdr:cNvSpPr>
          <a:spLocks/>
        </xdr:cNvSpPr>
      </xdr:nvSpPr>
      <xdr:spPr>
        <a:xfrm>
          <a:off x="32451675" y="55654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93</xdr:row>
      <xdr:rowOff>0</xdr:rowOff>
    </xdr:from>
    <xdr:to>
      <xdr:col>28</xdr:col>
      <xdr:colOff>76200</xdr:colOff>
      <xdr:row>93</xdr:row>
      <xdr:rowOff>0</xdr:rowOff>
    </xdr:to>
    <xdr:sp>
      <xdr:nvSpPr>
        <xdr:cNvPr id="10" name="Line 12"/>
        <xdr:cNvSpPr>
          <a:spLocks/>
        </xdr:cNvSpPr>
      </xdr:nvSpPr>
      <xdr:spPr>
        <a:xfrm>
          <a:off x="32451675" y="55654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0</xdr:rowOff>
    </xdr:from>
    <xdr:to>
      <xdr:col>28</xdr:col>
      <xdr:colOff>76200</xdr:colOff>
      <xdr:row>101</xdr:row>
      <xdr:rowOff>0</xdr:rowOff>
    </xdr:to>
    <xdr:sp>
      <xdr:nvSpPr>
        <xdr:cNvPr id="11" name="Line 13"/>
        <xdr:cNvSpPr>
          <a:spLocks/>
        </xdr:cNvSpPr>
      </xdr:nvSpPr>
      <xdr:spPr>
        <a:xfrm>
          <a:off x="32451675" y="60226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0</xdr:rowOff>
    </xdr:from>
    <xdr:to>
      <xdr:col>28</xdr:col>
      <xdr:colOff>76200</xdr:colOff>
      <xdr:row>101</xdr:row>
      <xdr:rowOff>0</xdr:rowOff>
    </xdr:to>
    <xdr:sp>
      <xdr:nvSpPr>
        <xdr:cNvPr id="12" name="Line 14"/>
        <xdr:cNvSpPr>
          <a:spLocks/>
        </xdr:cNvSpPr>
      </xdr:nvSpPr>
      <xdr:spPr>
        <a:xfrm>
          <a:off x="32451675" y="60226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109</xdr:row>
      <xdr:rowOff>0</xdr:rowOff>
    </xdr:from>
    <xdr:to>
      <xdr:col>28</xdr:col>
      <xdr:colOff>76200</xdr:colOff>
      <xdr:row>109</xdr:row>
      <xdr:rowOff>0</xdr:rowOff>
    </xdr:to>
    <xdr:sp>
      <xdr:nvSpPr>
        <xdr:cNvPr id="13" name="Line 15"/>
        <xdr:cNvSpPr>
          <a:spLocks/>
        </xdr:cNvSpPr>
      </xdr:nvSpPr>
      <xdr:spPr>
        <a:xfrm>
          <a:off x="32451675" y="64798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109</xdr:row>
      <xdr:rowOff>0</xdr:rowOff>
    </xdr:from>
    <xdr:to>
      <xdr:col>28</xdr:col>
      <xdr:colOff>76200</xdr:colOff>
      <xdr:row>109</xdr:row>
      <xdr:rowOff>0</xdr:rowOff>
    </xdr:to>
    <xdr:sp>
      <xdr:nvSpPr>
        <xdr:cNvPr id="14" name="Line 16"/>
        <xdr:cNvSpPr>
          <a:spLocks/>
        </xdr:cNvSpPr>
      </xdr:nvSpPr>
      <xdr:spPr>
        <a:xfrm>
          <a:off x="32451675" y="64798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58</xdr:row>
      <xdr:rowOff>0</xdr:rowOff>
    </xdr:from>
    <xdr:to>
      <xdr:col>28</xdr:col>
      <xdr:colOff>76200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32508825" y="3522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58</xdr:row>
      <xdr:rowOff>0</xdr:rowOff>
    </xdr:from>
    <xdr:to>
      <xdr:col>28</xdr:col>
      <xdr:colOff>76200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>
          <a:off x="32508825" y="3522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65</xdr:row>
      <xdr:rowOff>0</xdr:rowOff>
    </xdr:from>
    <xdr:to>
      <xdr:col>28</xdr:col>
      <xdr:colOff>76200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>
          <a:off x="32508825" y="39223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65</xdr:row>
      <xdr:rowOff>0</xdr:rowOff>
    </xdr:from>
    <xdr:to>
      <xdr:col>28</xdr:col>
      <xdr:colOff>76200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>
          <a:off x="32508825" y="39223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72</xdr:row>
      <xdr:rowOff>0</xdr:rowOff>
    </xdr:from>
    <xdr:to>
      <xdr:col>28</xdr:col>
      <xdr:colOff>76200</xdr:colOff>
      <xdr:row>72</xdr:row>
      <xdr:rowOff>0</xdr:rowOff>
    </xdr:to>
    <xdr:sp>
      <xdr:nvSpPr>
        <xdr:cNvPr id="5" name="Line 5"/>
        <xdr:cNvSpPr>
          <a:spLocks/>
        </xdr:cNvSpPr>
      </xdr:nvSpPr>
      <xdr:spPr>
        <a:xfrm>
          <a:off x="32508825" y="43224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72</xdr:row>
      <xdr:rowOff>0</xdr:rowOff>
    </xdr:from>
    <xdr:to>
      <xdr:col>28</xdr:col>
      <xdr:colOff>76200</xdr:colOff>
      <xdr:row>72</xdr:row>
      <xdr:rowOff>0</xdr:rowOff>
    </xdr:to>
    <xdr:sp>
      <xdr:nvSpPr>
        <xdr:cNvPr id="6" name="Line 6"/>
        <xdr:cNvSpPr>
          <a:spLocks/>
        </xdr:cNvSpPr>
      </xdr:nvSpPr>
      <xdr:spPr>
        <a:xfrm>
          <a:off x="32508825" y="43224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85</xdr:row>
      <xdr:rowOff>0</xdr:rowOff>
    </xdr:from>
    <xdr:to>
      <xdr:col>28</xdr:col>
      <xdr:colOff>76200</xdr:colOff>
      <xdr:row>85</xdr:row>
      <xdr:rowOff>0</xdr:rowOff>
    </xdr:to>
    <xdr:sp>
      <xdr:nvSpPr>
        <xdr:cNvPr id="7" name="Line 7"/>
        <xdr:cNvSpPr>
          <a:spLocks/>
        </xdr:cNvSpPr>
      </xdr:nvSpPr>
      <xdr:spPr>
        <a:xfrm>
          <a:off x="32508825" y="51273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85</xdr:row>
      <xdr:rowOff>0</xdr:rowOff>
    </xdr:from>
    <xdr:to>
      <xdr:col>28</xdr:col>
      <xdr:colOff>76200</xdr:colOff>
      <xdr:row>85</xdr:row>
      <xdr:rowOff>0</xdr:rowOff>
    </xdr:to>
    <xdr:sp>
      <xdr:nvSpPr>
        <xdr:cNvPr id="8" name="Line 8"/>
        <xdr:cNvSpPr>
          <a:spLocks/>
        </xdr:cNvSpPr>
      </xdr:nvSpPr>
      <xdr:spPr>
        <a:xfrm>
          <a:off x="32508825" y="51273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93</xdr:row>
      <xdr:rowOff>0</xdr:rowOff>
    </xdr:from>
    <xdr:to>
      <xdr:col>28</xdr:col>
      <xdr:colOff>76200</xdr:colOff>
      <xdr:row>93</xdr:row>
      <xdr:rowOff>0</xdr:rowOff>
    </xdr:to>
    <xdr:sp>
      <xdr:nvSpPr>
        <xdr:cNvPr id="9" name="Line 9"/>
        <xdr:cNvSpPr>
          <a:spLocks/>
        </xdr:cNvSpPr>
      </xdr:nvSpPr>
      <xdr:spPr>
        <a:xfrm>
          <a:off x="32508825" y="55845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93</xdr:row>
      <xdr:rowOff>0</xdr:rowOff>
    </xdr:from>
    <xdr:to>
      <xdr:col>28</xdr:col>
      <xdr:colOff>76200</xdr:colOff>
      <xdr:row>93</xdr:row>
      <xdr:rowOff>0</xdr:rowOff>
    </xdr:to>
    <xdr:sp>
      <xdr:nvSpPr>
        <xdr:cNvPr id="10" name="Line 10"/>
        <xdr:cNvSpPr>
          <a:spLocks/>
        </xdr:cNvSpPr>
      </xdr:nvSpPr>
      <xdr:spPr>
        <a:xfrm>
          <a:off x="32508825" y="55845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0</xdr:rowOff>
    </xdr:from>
    <xdr:to>
      <xdr:col>28</xdr:col>
      <xdr:colOff>76200</xdr:colOff>
      <xdr:row>101</xdr:row>
      <xdr:rowOff>0</xdr:rowOff>
    </xdr:to>
    <xdr:sp>
      <xdr:nvSpPr>
        <xdr:cNvPr id="11" name="Line 11"/>
        <xdr:cNvSpPr>
          <a:spLocks/>
        </xdr:cNvSpPr>
      </xdr:nvSpPr>
      <xdr:spPr>
        <a:xfrm>
          <a:off x="32508825" y="60417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0</xdr:rowOff>
    </xdr:from>
    <xdr:to>
      <xdr:col>28</xdr:col>
      <xdr:colOff>76200</xdr:colOff>
      <xdr:row>101</xdr:row>
      <xdr:rowOff>0</xdr:rowOff>
    </xdr:to>
    <xdr:sp>
      <xdr:nvSpPr>
        <xdr:cNvPr id="12" name="Line 12"/>
        <xdr:cNvSpPr>
          <a:spLocks/>
        </xdr:cNvSpPr>
      </xdr:nvSpPr>
      <xdr:spPr>
        <a:xfrm>
          <a:off x="32508825" y="60417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109</xdr:row>
      <xdr:rowOff>0</xdr:rowOff>
    </xdr:from>
    <xdr:to>
      <xdr:col>28</xdr:col>
      <xdr:colOff>76200</xdr:colOff>
      <xdr:row>109</xdr:row>
      <xdr:rowOff>0</xdr:rowOff>
    </xdr:to>
    <xdr:sp>
      <xdr:nvSpPr>
        <xdr:cNvPr id="13" name="Line 13"/>
        <xdr:cNvSpPr>
          <a:spLocks/>
        </xdr:cNvSpPr>
      </xdr:nvSpPr>
      <xdr:spPr>
        <a:xfrm>
          <a:off x="32508825" y="64989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47625</xdr:colOff>
      <xdr:row>109</xdr:row>
      <xdr:rowOff>0</xdr:rowOff>
    </xdr:from>
    <xdr:to>
      <xdr:col>28</xdr:col>
      <xdr:colOff>76200</xdr:colOff>
      <xdr:row>109</xdr:row>
      <xdr:rowOff>0</xdr:rowOff>
    </xdr:to>
    <xdr:sp>
      <xdr:nvSpPr>
        <xdr:cNvPr id="14" name="Line 14"/>
        <xdr:cNvSpPr>
          <a:spLocks/>
        </xdr:cNvSpPr>
      </xdr:nvSpPr>
      <xdr:spPr>
        <a:xfrm>
          <a:off x="32508825" y="649890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5"/>
  <sheetViews>
    <sheetView tabSelected="1" zoomScale="35" zoomScaleNormal="35" workbookViewId="0" topLeftCell="A1">
      <selection activeCell="A80" sqref="A80:A81"/>
    </sheetView>
  </sheetViews>
  <sheetFormatPr defaultColWidth="9.00390625" defaultRowHeight="14.25"/>
  <cols>
    <col min="1" max="1" width="15.625" style="105" customWidth="1"/>
    <col min="2" max="2" width="13.125" style="105" customWidth="1"/>
    <col min="3" max="3" width="17.125" style="106" customWidth="1"/>
    <col min="4" max="4" width="20.375" style="107" customWidth="1"/>
    <col min="5" max="6" width="15.625" style="107" customWidth="1"/>
    <col min="7" max="7" width="13.625" style="107" customWidth="1"/>
    <col min="8" max="8" width="15.625" style="108" customWidth="1"/>
    <col min="9" max="9" width="15.625" style="109" customWidth="1"/>
    <col min="10" max="10" width="13.625" style="106" customWidth="1"/>
    <col min="11" max="11" width="15.625" style="107" customWidth="1"/>
    <col min="12" max="12" width="15.625" style="109" customWidth="1"/>
    <col min="13" max="13" width="13.625" style="106" customWidth="1"/>
    <col min="14" max="14" width="15.625" style="106" customWidth="1"/>
    <col min="15" max="15" width="15.625" style="110" customWidth="1"/>
    <col min="16" max="16" width="13.625" style="106" customWidth="1"/>
    <col min="17" max="17" width="15.625" style="106" customWidth="1"/>
    <col min="18" max="18" width="15.625" style="110" customWidth="1"/>
    <col min="19" max="19" width="13.625" style="106" customWidth="1"/>
    <col min="20" max="20" width="15.625" style="106" customWidth="1"/>
    <col min="21" max="21" width="15.625" style="110" customWidth="1"/>
    <col min="22" max="22" width="13.625" style="106" customWidth="1"/>
    <col min="23" max="23" width="15.625" style="106" customWidth="1"/>
    <col min="24" max="24" width="15.625" style="110" customWidth="1"/>
    <col min="25" max="25" width="13.625" style="106" customWidth="1"/>
    <col min="26" max="26" width="15.625" style="106" customWidth="1"/>
    <col min="27" max="27" width="15.625" style="110" customWidth="1"/>
    <col min="28" max="28" width="13.625" style="106" customWidth="1"/>
    <col min="29" max="29" width="15.625" style="106" customWidth="1"/>
    <col min="30" max="30" width="15.625" style="110" customWidth="1"/>
    <col min="31" max="31" width="13.625" style="106" customWidth="1"/>
    <col min="32" max="32" width="15.00390625" style="106" customWidth="1"/>
    <col min="33" max="16384" width="9.00390625" style="3" customWidth="1"/>
  </cols>
  <sheetData>
    <row r="1" spans="1:32" ht="96.75" customHeight="1" thickBot="1">
      <c r="A1" s="135" t="s">
        <v>100</v>
      </c>
      <c r="B1" s="136"/>
      <c r="C1" s="129"/>
      <c r="D1" s="129"/>
      <c r="E1" s="129"/>
      <c r="F1" s="129"/>
      <c r="G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45" customHeight="1">
      <c r="A2" s="150" t="s">
        <v>67</v>
      </c>
      <c r="B2" s="161" t="s">
        <v>24</v>
      </c>
      <c r="C2" s="119" t="s">
        <v>68</v>
      </c>
      <c r="D2" s="120" t="s">
        <v>69</v>
      </c>
      <c r="E2" s="143" t="s">
        <v>70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5"/>
      <c r="AF2" s="121" t="s">
        <v>71</v>
      </c>
    </row>
    <row r="3" spans="1:32" ht="45" customHeight="1">
      <c r="A3" s="139"/>
      <c r="B3" s="162"/>
      <c r="C3" s="51" t="s">
        <v>72</v>
      </c>
      <c r="D3" s="123" t="s">
        <v>88</v>
      </c>
      <c r="E3" s="14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8"/>
      <c r="AF3" s="122" t="s">
        <v>73</v>
      </c>
    </row>
    <row r="4" spans="1:32" ht="45" customHeight="1">
      <c r="A4" s="139" t="s">
        <v>74</v>
      </c>
      <c r="B4" s="51" t="s">
        <v>75</v>
      </c>
      <c r="C4" s="51" t="s">
        <v>76</v>
      </c>
      <c r="D4" s="52" t="s">
        <v>77</v>
      </c>
      <c r="E4" s="137" t="s">
        <v>38</v>
      </c>
      <c r="F4" s="138"/>
      <c r="G4" s="138"/>
      <c r="H4" s="137" t="s">
        <v>78</v>
      </c>
      <c r="I4" s="138"/>
      <c r="J4" s="138"/>
      <c r="K4" s="137" t="s">
        <v>79</v>
      </c>
      <c r="L4" s="138"/>
      <c r="M4" s="138"/>
      <c r="N4" s="137" t="s">
        <v>80</v>
      </c>
      <c r="O4" s="138"/>
      <c r="P4" s="138"/>
      <c r="Q4" s="137" t="s">
        <v>81</v>
      </c>
      <c r="R4" s="138"/>
      <c r="S4" s="138"/>
      <c r="T4" s="137" t="s">
        <v>82</v>
      </c>
      <c r="U4" s="138"/>
      <c r="V4" s="138"/>
      <c r="W4" s="137" t="s">
        <v>83</v>
      </c>
      <c r="X4" s="138"/>
      <c r="Y4" s="138"/>
      <c r="Z4" s="137" t="s">
        <v>84</v>
      </c>
      <c r="AA4" s="138"/>
      <c r="AB4" s="138"/>
      <c r="AC4" s="137" t="s">
        <v>85</v>
      </c>
      <c r="AD4" s="138"/>
      <c r="AE4" s="149"/>
      <c r="AF4" s="151" t="s">
        <v>27</v>
      </c>
    </row>
    <row r="5" spans="1:63" ht="45" customHeight="1">
      <c r="A5" s="140"/>
      <c r="B5" s="53" t="s">
        <v>86</v>
      </c>
      <c r="C5" s="53" t="s">
        <v>87</v>
      </c>
      <c r="D5" s="54" t="s">
        <v>62</v>
      </c>
      <c r="E5" s="55" t="s">
        <v>63</v>
      </c>
      <c r="F5" s="56" t="s">
        <v>64</v>
      </c>
      <c r="G5" s="57" t="s">
        <v>65</v>
      </c>
      <c r="H5" s="55" t="s">
        <v>63</v>
      </c>
      <c r="I5" s="56" t="s">
        <v>64</v>
      </c>
      <c r="J5" s="57" t="s">
        <v>65</v>
      </c>
      <c r="K5" s="55" t="s">
        <v>63</v>
      </c>
      <c r="L5" s="56" t="s">
        <v>64</v>
      </c>
      <c r="M5" s="57" t="s">
        <v>65</v>
      </c>
      <c r="N5" s="55" t="s">
        <v>63</v>
      </c>
      <c r="O5" s="56" t="s">
        <v>64</v>
      </c>
      <c r="P5" s="57" t="s">
        <v>65</v>
      </c>
      <c r="Q5" s="55" t="s">
        <v>63</v>
      </c>
      <c r="R5" s="56" t="s">
        <v>64</v>
      </c>
      <c r="S5" s="57" t="s">
        <v>65</v>
      </c>
      <c r="T5" s="55" t="s">
        <v>63</v>
      </c>
      <c r="U5" s="56" t="s">
        <v>64</v>
      </c>
      <c r="V5" s="57" t="s">
        <v>65</v>
      </c>
      <c r="W5" s="55" t="s">
        <v>63</v>
      </c>
      <c r="X5" s="56" t="s">
        <v>64</v>
      </c>
      <c r="Y5" s="57" t="s">
        <v>65</v>
      </c>
      <c r="Z5" s="55" t="s">
        <v>63</v>
      </c>
      <c r="AA5" s="56" t="s">
        <v>64</v>
      </c>
      <c r="AB5" s="57" t="s">
        <v>65</v>
      </c>
      <c r="AC5" s="55" t="s">
        <v>63</v>
      </c>
      <c r="AD5" s="56" t="s">
        <v>64</v>
      </c>
      <c r="AE5" s="57" t="s">
        <v>65</v>
      </c>
      <c r="AF5" s="151"/>
      <c r="AH5" s="24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</row>
    <row r="6" spans="1:32" ht="45" customHeight="1">
      <c r="A6" s="139" t="s">
        <v>15</v>
      </c>
      <c r="B6" s="133">
        <v>80</v>
      </c>
      <c r="C6" s="51">
        <v>2000</v>
      </c>
      <c r="D6" s="52">
        <f>PI()/2*0.526*POWER(0.126,2)*0.15*C6</f>
        <v>3.9352104800060936</v>
      </c>
      <c r="E6" s="58">
        <f>(C6-1195*SQRT((19.6+101.325)/101.325-1))*D6/C6</f>
        <v>2.9010793654175644</v>
      </c>
      <c r="F6" s="52">
        <f>D6*19.6/98*1.634*1+0.4*POWER(C6/2000,1.8)</f>
        <v>1.6860267848659913</v>
      </c>
      <c r="G6" s="59">
        <v>3</v>
      </c>
      <c r="H6" s="58">
        <f>(C6-1195*SQRT((29.4+101.325)/101.325-1))*D6/C6</f>
        <v>2.668663701067325</v>
      </c>
      <c r="I6" s="52">
        <f>D6*29.4/98*1.634*1+0.4*POWER(C6/2000,1.8)</f>
        <v>2.329040177298987</v>
      </c>
      <c r="J6" s="51">
        <v>3</v>
      </c>
      <c r="K6" s="52">
        <f>(C6-1195*SQRT((39.2+101.325)/101.325-1))*D6/C6</f>
        <v>2.4727282324829907</v>
      </c>
      <c r="L6" s="52">
        <f>D6*39.2/98*1.634*1+0.4*POWER(C6/2000,1.8)</f>
        <v>2.9720535697319828</v>
      </c>
      <c r="M6" s="51">
        <v>4</v>
      </c>
      <c r="N6" s="52">
        <f>(C6-1195*SQRT((49+101.325)/101.325-1))*D6/C6</f>
        <v>2.300105619331928</v>
      </c>
      <c r="O6" s="52">
        <f>D6*49/98*1.634*1+0.4*POWER(C6/2000,1.8)</f>
        <v>3.615066962164978</v>
      </c>
      <c r="P6" s="51">
        <v>5.5</v>
      </c>
      <c r="Q6" s="52">
        <f>(C6-1195*SQRT((58.8+101.325)/101.325-1))*D6/C6</f>
        <v>2.1440428478509284</v>
      </c>
      <c r="R6" s="52">
        <f>D6*58.8/98*1.634*1+0.4*POWER(C6/2000,1.8)</f>
        <v>4.258080354597974</v>
      </c>
      <c r="S6" s="51">
        <v>5.5</v>
      </c>
      <c r="T6" s="52">
        <f>(C6-1195*SQRT((68.6+101.325)/101.325-1))*D6/C6</f>
        <v>2.0005283181096236</v>
      </c>
      <c r="U6" s="52">
        <f>D6*68.6/98*1.634*1+0.4*POWER(C6/2000,1.8)</f>
        <v>4.901093747030969</v>
      </c>
      <c r="V6" s="51">
        <v>7.5</v>
      </c>
      <c r="W6" s="52"/>
      <c r="X6" s="52"/>
      <c r="Y6" s="51"/>
      <c r="Z6" s="52"/>
      <c r="AA6" s="52"/>
      <c r="AB6" s="51"/>
      <c r="AC6" s="52"/>
      <c r="AD6" s="60"/>
      <c r="AE6" s="51"/>
      <c r="AF6" s="61">
        <v>2</v>
      </c>
    </row>
    <row r="7" spans="1:32" ht="45" customHeight="1">
      <c r="A7" s="139"/>
      <c r="B7" s="133"/>
      <c r="C7" s="51">
        <v>2400</v>
      </c>
      <c r="D7" s="52">
        <f aca="true" t="shared" si="0" ref="D7:D13">PI()/2*0.526*POWER(0.126,2)*0.15*C7</f>
        <v>4.722252576007312</v>
      </c>
      <c r="E7" s="58">
        <f aca="true" t="shared" si="1" ref="E7:E13">(C7-1195*SQRT((19.6+101.325)/101.325-1))*D7/C7</f>
        <v>3.688121461418783</v>
      </c>
      <c r="F7" s="52">
        <f aca="true" t="shared" si="2" ref="F7:F13">D7*19.6/98*1.634*1+0.4*POWER(C7/2000,1.8)</f>
        <v>2.098607024144703</v>
      </c>
      <c r="G7" s="59">
        <v>3</v>
      </c>
      <c r="H7" s="58">
        <f aca="true" t="shared" si="3" ref="H7:H13">(C7-1195*SQRT((29.4+101.325)/101.325-1))*D7/C7</f>
        <v>3.4557057970685436</v>
      </c>
      <c r="I7" s="52">
        <f aca="true" t="shared" si="4" ref="I7:I13">D7*29.4/98*1.634*1+0.4*POWER(C7/2000,1.8)</f>
        <v>2.870223095064297</v>
      </c>
      <c r="J7" s="51">
        <v>4</v>
      </c>
      <c r="K7" s="52">
        <f aca="true" t="shared" si="5" ref="K7:K13">(C7-1195*SQRT((39.2+101.325)/101.325-1))*D7/C7</f>
        <v>3.2597703284842092</v>
      </c>
      <c r="L7" s="52">
        <f aca="true" t="shared" si="6" ref="L7:L13">D7*39.2/98*1.634*1+0.4*POWER(C7/2000,1.8)</f>
        <v>3.641839165983893</v>
      </c>
      <c r="M7" s="51">
        <v>5.5</v>
      </c>
      <c r="N7" s="52">
        <f aca="true" t="shared" si="7" ref="N7:N13">(C7-1195*SQRT((49+101.325)/101.325-1))*D7/C7</f>
        <v>3.087147715333147</v>
      </c>
      <c r="O7" s="52">
        <f aca="true" t="shared" si="8" ref="O7:O13">D7*49/98*1.634*1+0.4*POWER(C7/2000,1.8)</f>
        <v>4.413455236903487</v>
      </c>
      <c r="P7" s="51">
        <v>5.5</v>
      </c>
      <c r="Q7" s="52">
        <f aca="true" t="shared" si="9" ref="Q7:Q13">(C7-1195*SQRT((58.8+101.325)/101.325-1))*D7/C7</f>
        <v>2.931084943852147</v>
      </c>
      <c r="R7" s="52">
        <f aca="true" t="shared" si="10" ref="R7:R13">D7*58.8/98*1.634*1+0.4*POWER(C7/2000,1.8)</f>
        <v>5.1850713078230815</v>
      </c>
      <c r="S7" s="51">
        <v>7.5</v>
      </c>
      <c r="T7" s="52">
        <f aca="true" t="shared" si="11" ref="T7:T13">(C7-1195*SQRT((68.6+101.325)/101.325-1))*D7/C7</f>
        <v>2.7875704141108426</v>
      </c>
      <c r="U7" s="52">
        <f aca="true" t="shared" si="12" ref="U7:U13">D7*68.6/98*1.634*1+0.4*POWER(C7/2000,1.8)</f>
        <v>5.956687378742677</v>
      </c>
      <c r="V7" s="51">
        <v>7.5</v>
      </c>
      <c r="W7" s="52">
        <f>(C7-1195*SQRT((78.4+101.325)/101.325-1))*D7/C7</f>
        <v>2.6539903468302537</v>
      </c>
      <c r="X7" s="52">
        <f>D7*78.4/98*1.634*1+0.4*POWER(C7/2000,1.8)</f>
        <v>6.728303449662273</v>
      </c>
      <c r="Y7" s="51">
        <v>11</v>
      </c>
      <c r="Z7" s="52" t="s">
        <v>39</v>
      </c>
      <c r="AA7" s="52"/>
      <c r="AB7" s="51"/>
      <c r="AC7" s="52"/>
      <c r="AD7" s="52"/>
      <c r="AE7" s="51"/>
      <c r="AF7" s="62">
        <v>2</v>
      </c>
    </row>
    <row r="8" spans="1:32" ht="45" customHeight="1">
      <c r="A8" s="139"/>
      <c r="B8" s="133"/>
      <c r="C8" s="51">
        <v>2750</v>
      </c>
      <c r="D8" s="52">
        <f t="shared" si="0"/>
        <v>5.410914410008378</v>
      </c>
      <c r="E8" s="58">
        <f t="shared" si="1"/>
        <v>4.37678329541985</v>
      </c>
      <c r="F8" s="52">
        <f t="shared" si="2"/>
        <v>2.4778725182116412</v>
      </c>
      <c r="G8" s="59">
        <v>4</v>
      </c>
      <c r="H8" s="58">
        <f t="shared" si="3"/>
        <v>4.14436763106961</v>
      </c>
      <c r="I8" s="52">
        <f t="shared" si="4"/>
        <v>3.36201593280701</v>
      </c>
      <c r="J8" s="51">
        <v>5.5</v>
      </c>
      <c r="K8" s="52">
        <f t="shared" si="5"/>
        <v>3.9484321624852754</v>
      </c>
      <c r="L8" s="52">
        <f t="shared" si="6"/>
        <v>4.246159347402379</v>
      </c>
      <c r="M8" s="51">
        <v>5.5</v>
      </c>
      <c r="N8" s="52">
        <f t="shared" si="7"/>
        <v>3.775809549334213</v>
      </c>
      <c r="O8" s="52">
        <f t="shared" si="8"/>
        <v>5.130302761997749</v>
      </c>
      <c r="P8" s="51">
        <v>7.5</v>
      </c>
      <c r="Q8" s="52">
        <f t="shared" si="9"/>
        <v>3.6197467778532135</v>
      </c>
      <c r="R8" s="52">
        <f t="shared" si="10"/>
        <v>6.0144461765931165</v>
      </c>
      <c r="S8" s="51">
        <v>7.5</v>
      </c>
      <c r="T8" s="52">
        <f t="shared" si="11"/>
        <v>3.4762322481119083</v>
      </c>
      <c r="U8" s="52">
        <f t="shared" si="12"/>
        <v>6.898589591188485</v>
      </c>
      <c r="V8" s="51">
        <v>11</v>
      </c>
      <c r="W8" s="52">
        <f aca="true" t="shared" si="13" ref="W8:W13">(C8-1195*SQRT((78.4+101.325)/101.325-1))*D8/C8</f>
        <v>3.34265218083132</v>
      </c>
      <c r="X8" s="52">
        <f aca="true" t="shared" si="14" ref="X8:X13">D8*78.4/98*1.634*1+0.4*POWER(C8/2000,1.8)</f>
        <v>7.782733005783856</v>
      </c>
      <c r="Y8" s="51">
        <v>11</v>
      </c>
      <c r="Z8" s="52"/>
      <c r="AA8" s="52"/>
      <c r="AB8" s="51"/>
      <c r="AC8" s="52"/>
      <c r="AD8" s="52"/>
      <c r="AE8" s="51"/>
      <c r="AF8" s="62">
        <v>2</v>
      </c>
    </row>
    <row r="9" spans="1:34" ht="45" customHeight="1">
      <c r="A9" s="139"/>
      <c r="B9" s="133"/>
      <c r="C9" s="51">
        <v>3050</v>
      </c>
      <c r="D9" s="52">
        <f t="shared" si="0"/>
        <v>6.001195982009293</v>
      </c>
      <c r="E9" s="58">
        <f t="shared" si="1"/>
        <v>4.967064867420763</v>
      </c>
      <c r="F9" s="52">
        <f t="shared" si="2"/>
        <v>2.816150676782088</v>
      </c>
      <c r="G9" s="59">
        <v>4</v>
      </c>
      <c r="H9" s="58">
        <f t="shared" si="3"/>
        <v>4.734649203070524</v>
      </c>
      <c r="I9" s="52">
        <f t="shared" si="4"/>
        <v>3.7967461002424066</v>
      </c>
      <c r="J9" s="51">
        <v>5.5</v>
      </c>
      <c r="K9" s="52">
        <f t="shared" si="5"/>
        <v>4.53871373448619</v>
      </c>
      <c r="L9" s="52">
        <f t="shared" si="6"/>
        <v>4.7773415237027255</v>
      </c>
      <c r="M9" s="51">
        <v>7.5</v>
      </c>
      <c r="N9" s="52">
        <f t="shared" si="7"/>
        <v>4.366091121335128</v>
      </c>
      <c r="O9" s="52">
        <f t="shared" si="8"/>
        <v>5.757936947163043</v>
      </c>
      <c r="P9" s="51">
        <v>7.5</v>
      </c>
      <c r="Q9" s="52">
        <f t="shared" si="9"/>
        <v>4.210028349854127</v>
      </c>
      <c r="R9" s="52">
        <f t="shared" si="10"/>
        <v>6.738532370623362</v>
      </c>
      <c r="S9" s="51">
        <v>11</v>
      </c>
      <c r="T9" s="52">
        <f t="shared" si="11"/>
        <v>4.066513820112823</v>
      </c>
      <c r="U9" s="52">
        <f t="shared" si="12"/>
        <v>7.719127794083679</v>
      </c>
      <c r="V9" s="51">
        <v>11</v>
      </c>
      <c r="W9" s="52">
        <f t="shared" si="13"/>
        <v>3.932933752832234</v>
      </c>
      <c r="X9" s="52">
        <f t="shared" si="14"/>
        <v>8.699723217544</v>
      </c>
      <c r="Y9" s="51">
        <v>11</v>
      </c>
      <c r="Z9" s="52">
        <f>(C9-1195*SQRT((88.2+101.325)/101.325-1))*D9/C9</f>
        <v>3.8074726107246377</v>
      </c>
      <c r="AA9" s="63">
        <f>D9*88.2/98*1.634*1+0.4*POWER(C9/2000,1.8)</f>
        <v>9.680318641004318</v>
      </c>
      <c r="AB9" s="51">
        <v>15</v>
      </c>
      <c r="AC9" s="52"/>
      <c r="AD9" s="63"/>
      <c r="AE9" s="51"/>
      <c r="AF9" s="62">
        <v>2</v>
      </c>
      <c r="AH9" s="3" t="s">
        <v>28</v>
      </c>
    </row>
    <row r="10" spans="1:32" ht="45" customHeight="1">
      <c r="A10" s="139"/>
      <c r="B10" s="133"/>
      <c r="C10" s="51">
        <v>3500</v>
      </c>
      <c r="D10" s="52">
        <f t="shared" si="0"/>
        <v>6.8866183400106635</v>
      </c>
      <c r="E10" s="58">
        <f t="shared" si="1"/>
        <v>5.852487225422134</v>
      </c>
      <c r="F10" s="52">
        <f t="shared" si="2"/>
        <v>3.345835250321511</v>
      </c>
      <c r="G10" s="59">
        <v>5.5</v>
      </c>
      <c r="H10" s="58">
        <f t="shared" si="3"/>
        <v>5.620071561071895</v>
      </c>
      <c r="I10" s="52">
        <f t="shared" si="4"/>
        <v>4.471108687079254</v>
      </c>
      <c r="J10" s="51">
        <v>5.5</v>
      </c>
      <c r="K10" s="52">
        <f t="shared" si="5"/>
        <v>5.4241360924875615</v>
      </c>
      <c r="L10" s="52">
        <f t="shared" si="6"/>
        <v>5.596382123836996</v>
      </c>
      <c r="M10" s="51">
        <v>7.5</v>
      </c>
      <c r="N10" s="52">
        <f t="shared" si="7"/>
        <v>5.251513479336499</v>
      </c>
      <c r="O10" s="52">
        <f t="shared" si="8"/>
        <v>6.721655560594739</v>
      </c>
      <c r="P10" s="51">
        <v>7.5</v>
      </c>
      <c r="Q10" s="52">
        <f t="shared" si="9"/>
        <v>5.095450707855498</v>
      </c>
      <c r="R10" s="52">
        <f t="shared" si="10"/>
        <v>7.846928997352481</v>
      </c>
      <c r="S10" s="51">
        <v>11</v>
      </c>
      <c r="T10" s="52">
        <f t="shared" si="11"/>
        <v>4.9519361781141935</v>
      </c>
      <c r="U10" s="52">
        <f t="shared" si="12"/>
        <v>8.972202434110223</v>
      </c>
      <c r="V10" s="51">
        <v>11</v>
      </c>
      <c r="W10" s="52">
        <f t="shared" si="13"/>
        <v>4.818356110833605</v>
      </c>
      <c r="X10" s="52">
        <f t="shared" si="14"/>
        <v>10.097475870867964</v>
      </c>
      <c r="Y10" s="51">
        <v>15</v>
      </c>
      <c r="Z10" s="52">
        <f>(C10-1195*SQRT((88.2+101.325)/101.325-1))*D10/C10</f>
        <v>4.692894968726009</v>
      </c>
      <c r="AA10" s="63">
        <f>D10*88.2/98*1.634*1+0.4*POWER(C10/2000,1.8)</f>
        <v>11.222749307625708</v>
      </c>
      <c r="AB10" s="51">
        <v>15</v>
      </c>
      <c r="AC10" s="52"/>
      <c r="AD10" s="63"/>
      <c r="AE10" s="51"/>
      <c r="AF10" s="62">
        <v>2</v>
      </c>
    </row>
    <row r="11" spans="1:32" ht="45" customHeight="1">
      <c r="A11" s="139"/>
      <c r="B11" s="133"/>
      <c r="C11" s="51">
        <v>3950</v>
      </c>
      <c r="D11" s="52">
        <f t="shared" si="0"/>
        <v>7.772040698012035</v>
      </c>
      <c r="E11" s="58">
        <f t="shared" si="1"/>
        <v>6.737909583423506</v>
      </c>
      <c r="F11" s="52">
        <f t="shared" si="2"/>
        <v>3.9016008112818454</v>
      </c>
      <c r="G11" s="59">
        <v>5.5</v>
      </c>
      <c r="H11" s="58">
        <f t="shared" si="3"/>
        <v>6.505493919073267</v>
      </c>
      <c r="I11" s="52">
        <f t="shared" si="4"/>
        <v>5.171552261337012</v>
      </c>
      <c r="J11" s="51">
        <v>7.5</v>
      </c>
      <c r="K11" s="52">
        <f t="shared" si="5"/>
        <v>6.309558450488932</v>
      </c>
      <c r="L11" s="52">
        <f t="shared" si="6"/>
        <v>6.441503711392178</v>
      </c>
      <c r="M11" s="51">
        <v>7.5</v>
      </c>
      <c r="N11" s="52">
        <f t="shared" si="7"/>
        <v>6.1369358373378695</v>
      </c>
      <c r="O11" s="52">
        <f t="shared" si="8"/>
        <v>7.711455161447344</v>
      </c>
      <c r="P11" s="51">
        <v>11</v>
      </c>
      <c r="Q11" s="52">
        <f t="shared" si="9"/>
        <v>5.98087306585687</v>
      </c>
      <c r="R11" s="52">
        <f t="shared" si="10"/>
        <v>8.981406611502512</v>
      </c>
      <c r="S11" s="51">
        <v>11</v>
      </c>
      <c r="T11" s="52">
        <f t="shared" si="11"/>
        <v>5.837358536115565</v>
      </c>
      <c r="U11" s="63">
        <f t="shared" si="12"/>
        <v>10.251358061557676</v>
      </c>
      <c r="V11" s="51">
        <v>15</v>
      </c>
      <c r="W11" s="52">
        <f t="shared" si="13"/>
        <v>5.703778468834977</v>
      </c>
      <c r="X11" s="63">
        <f t="shared" si="14"/>
        <v>11.521309511612845</v>
      </c>
      <c r="Y11" s="51">
        <v>15</v>
      </c>
      <c r="Z11" s="52">
        <f>(C11-1195*SQRT((88.2+101.325)/101.325-1))*D11/C11</f>
        <v>5.5783173267273805</v>
      </c>
      <c r="AA11" s="63">
        <f>D11*88.2/98*1.634*1+0.4*POWER(C11/2000,1.8)</f>
        <v>12.791260961668012</v>
      </c>
      <c r="AB11" s="51">
        <v>15</v>
      </c>
      <c r="AC11" s="52">
        <f>(C11-1195*SQRT((98+101.325)/101.325-1))*D11/C11</f>
        <v>5.459653228144461</v>
      </c>
      <c r="AD11" s="63">
        <f>D11*98/98*1.634*1+0.4*POWER(C11/2000,1.8)</f>
        <v>14.061212411723178</v>
      </c>
      <c r="AE11" s="51">
        <v>18.5</v>
      </c>
      <c r="AF11" s="62">
        <v>2</v>
      </c>
    </row>
    <row r="12" spans="1:32" ht="45" customHeight="1">
      <c r="A12" s="139"/>
      <c r="B12" s="133"/>
      <c r="C12" s="51">
        <v>4400</v>
      </c>
      <c r="D12" s="52">
        <f t="shared" si="0"/>
        <v>8.657463056013405</v>
      </c>
      <c r="E12" s="58">
        <f t="shared" si="1"/>
        <v>7.623331941424876</v>
      </c>
      <c r="F12" s="52">
        <f t="shared" si="2"/>
        <v>4.482822196351329</v>
      </c>
      <c r="G12" s="59">
        <v>5.5</v>
      </c>
      <c r="H12" s="58">
        <f t="shared" si="3"/>
        <v>7.390916277074637</v>
      </c>
      <c r="I12" s="52">
        <f t="shared" si="4"/>
        <v>5.897451659703918</v>
      </c>
      <c r="J12" s="51">
        <v>7.5</v>
      </c>
      <c r="K12" s="52">
        <f t="shared" si="5"/>
        <v>7.194980808490303</v>
      </c>
      <c r="L12" s="52">
        <f t="shared" si="6"/>
        <v>7.31208112305651</v>
      </c>
      <c r="M12" s="51">
        <v>11</v>
      </c>
      <c r="N12" s="52">
        <f t="shared" si="7"/>
        <v>7.02235819533924</v>
      </c>
      <c r="O12" s="52">
        <f t="shared" si="8"/>
        <v>8.7267105864091</v>
      </c>
      <c r="P12" s="51">
        <v>11</v>
      </c>
      <c r="Q12" s="52">
        <f t="shared" si="9"/>
        <v>6.86629542385824</v>
      </c>
      <c r="R12" s="63">
        <f t="shared" si="10"/>
        <v>10.14134004976169</v>
      </c>
      <c r="S12" s="51">
        <v>15</v>
      </c>
      <c r="T12" s="52">
        <f t="shared" si="11"/>
        <v>6.722780894116935</v>
      </c>
      <c r="U12" s="63">
        <f t="shared" si="12"/>
        <v>11.55596951311428</v>
      </c>
      <c r="V12" s="51">
        <v>15</v>
      </c>
      <c r="W12" s="52">
        <f t="shared" si="13"/>
        <v>6.589200826836347</v>
      </c>
      <c r="X12" s="63">
        <f t="shared" si="14"/>
        <v>12.970598976466873</v>
      </c>
      <c r="Y12" s="51">
        <v>18.5</v>
      </c>
      <c r="Z12" s="52">
        <f>(C12-1195*SQRT((88.2+101.325)/101.325-1))*D12/C12</f>
        <v>6.463739684728751</v>
      </c>
      <c r="AA12" s="63">
        <f>D12*88.2/98*1.634*1+0.4*POWER(C12/2000,1.8)</f>
        <v>14.38522843981946</v>
      </c>
      <c r="AB12" s="51">
        <v>18.5</v>
      </c>
      <c r="AC12" s="52">
        <f>(C12-1195*SQRT((98+101.325)/101.325-1))*D12/C12</f>
        <v>6.345075586145831</v>
      </c>
      <c r="AD12" s="63">
        <f>D12*98/98*1.634*1+0.4*POWER(C12/2000,1.8)</f>
        <v>15.79985790317205</v>
      </c>
      <c r="AE12" s="51">
        <v>18.5</v>
      </c>
      <c r="AF12" s="62">
        <v>2</v>
      </c>
    </row>
    <row r="13" spans="1:32" ht="45" customHeight="1">
      <c r="A13" s="142"/>
      <c r="B13" s="134"/>
      <c r="C13" s="64">
        <v>4700</v>
      </c>
      <c r="D13" s="52">
        <f t="shared" si="0"/>
        <v>9.24774462801432</v>
      </c>
      <c r="E13" s="58">
        <f t="shared" si="1"/>
        <v>8.213613513425791</v>
      </c>
      <c r="F13" s="52">
        <f t="shared" si="2"/>
        <v>4.884173520535538</v>
      </c>
      <c r="G13" s="59">
        <v>7.5</v>
      </c>
      <c r="H13" s="65">
        <f t="shared" si="3"/>
        <v>7.981197849075552</v>
      </c>
      <c r="I13" s="52">
        <f t="shared" si="4"/>
        <v>6.3952549927530775</v>
      </c>
      <c r="J13" s="64">
        <v>7.5</v>
      </c>
      <c r="K13" s="66">
        <f t="shared" si="5"/>
        <v>7.7852623804912175</v>
      </c>
      <c r="L13" s="52">
        <f t="shared" si="6"/>
        <v>7.906336464970618</v>
      </c>
      <c r="M13" s="64">
        <v>11</v>
      </c>
      <c r="N13" s="66">
        <f t="shared" si="7"/>
        <v>7.612639767340155</v>
      </c>
      <c r="O13" s="52">
        <f t="shared" si="8"/>
        <v>9.417417937188157</v>
      </c>
      <c r="P13" s="64">
        <v>11</v>
      </c>
      <c r="Q13" s="66">
        <f t="shared" si="9"/>
        <v>7.456576995859155</v>
      </c>
      <c r="R13" s="63">
        <f t="shared" si="10"/>
        <v>10.928499409405697</v>
      </c>
      <c r="S13" s="64">
        <v>15</v>
      </c>
      <c r="T13" s="66">
        <f t="shared" si="11"/>
        <v>7.3130624661178505</v>
      </c>
      <c r="U13" s="63">
        <f t="shared" si="12"/>
        <v>12.439580881623236</v>
      </c>
      <c r="V13" s="64">
        <v>15</v>
      </c>
      <c r="W13" s="66">
        <f t="shared" si="13"/>
        <v>7.179482398837262</v>
      </c>
      <c r="X13" s="63">
        <f t="shared" si="14"/>
        <v>13.950662353840778</v>
      </c>
      <c r="Y13" s="64">
        <v>18.5</v>
      </c>
      <c r="Z13" s="66">
        <f>(C13-1195*SQRT((88.2+101.325)/101.325-1))*D13/C13</f>
        <v>7.054021256729666</v>
      </c>
      <c r="AA13" s="63">
        <f>D13*88.2/98*1.634*1+0.4*POWER(C13/2000,1.8)</f>
        <v>15.461743826058317</v>
      </c>
      <c r="AB13" s="64">
        <v>18.5</v>
      </c>
      <c r="AC13" s="66">
        <f>(C13-1195*SQRT((98+101.325)/101.325-1))*D13/C13</f>
        <v>6.935357158146746</v>
      </c>
      <c r="AD13" s="63">
        <f>D13*98/98*1.634*1+0.4*POWER(C13/2000,1.8)</f>
        <v>16.972825298275854</v>
      </c>
      <c r="AE13" s="64">
        <v>22</v>
      </c>
      <c r="AF13" s="67">
        <v>2</v>
      </c>
    </row>
    <row r="14" spans="1:32" ht="45" customHeight="1">
      <c r="A14" s="141" t="s">
        <v>16</v>
      </c>
      <c r="B14" s="132">
        <v>80</v>
      </c>
      <c r="C14" s="51">
        <v>2000</v>
      </c>
      <c r="D14" s="60">
        <f>PI()/2*0.526*POWER(0.126,2)*0.21*C14</f>
        <v>5.509294672008532</v>
      </c>
      <c r="E14" s="69">
        <f>(C14-1045*SQRT((19.6+101.325)/101.325-1))*D14/C14</f>
        <v>4.243241265612701</v>
      </c>
      <c r="F14" s="60">
        <f>D14*19.6/98*1.634*1+0.46*POWER(C14/2000,1.8)</f>
        <v>2.2604374988123883</v>
      </c>
      <c r="G14" s="70">
        <v>3</v>
      </c>
      <c r="H14" s="69">
        <f>(C14-1045*SQRT((29.4+101.325)/101.325-1))*D14/C14</f>
        <v>3.958702255617387</v>
      </c>
      <c r="I14" s="60">
        <f>D14*29.4/98*1.634*1+0.46*POWER(C14/2000,1.8)</f>
        <v>3.1606562482185816</v>
      </c>
      <c r="J14" s="68">
        <v>4</v>
      </c>
      <c r="K14" s="60">
        <f>(C14-1045*SQRT((39.2+101.325)/101.325-1))*D14/C14</f>
        <v>3.718824773994892</v>
      </c>
      <c r="L14" s="60">
        <f>D14*39.2/98*1.634*1+0.46*POWER(C14/2000,1.8)</f>
        <v>4.060874997624777</v>
      </c>
      <c r="M14" s="68">
        <v>5.5</v>
      </c>
      <c r="N14" s="60">
        <f>(C14-1045*SQRT((49+101.325)/101.325-1))*D14/C14</f>
        <v>3.507488470195725</v>
      </c>
      <c r="O14" s="60">
        <f>D14*49/98*1.634*1+0.46*POWER(C14/2000,1.8)</f>
        <v>4.96109374703097</v>
      </c>
      <c r="P14" s="68">
        <v>7.5</v>
      </c>
      <c r="Q14" s="60">
        <f>(C14-1045*SQRT((58.8+101.325)/101.325-1))*D14/C14</f>
        <v>3.3164258470353043</v>
      </c>
      <c r="R14" s="60">
        <f>D14*58.8/98*1.634*1+0.46*POWER(C14/2000,1.8)</f>
        <v>5.861312496437163</v>
      </c>
      <c r="S14" s="68">
        <v>7.5</v>
      </c>
      <c r="T14" s="60">
        <f>(C14-1045*SQRT((68.6+101.325)/101.325-1))*D14/C14</f>
        <v>3.140725631962896</v>
      </c>
      <c r="U14" s="60">
        <f>D14*68.6/98*1.634*1+0.46*POWER(C14/2000,1.8)</f>
        <v>6.761531245843358</v>
      </c>
      <c r="V14" s="68">
        <v>11</v>
      </c>
      <c r="W14" s="60"/>
      <c r="X14" s="60"/>
      <c r="Y14" s="68"/>
      <c r="Z14" s="71"/>
      <c r="AA14" s="60"/>
      <c r="AB14" s="68"/>
      <c r="AC14" s="71"/>
      <c r="AD14" s="71"/>
      <c r="AE14" s="68"/>
      <c r="AF14" s="61">
        <v>2</v>
      </c>
    </row>
    <row r="15" spans="1:32" ht="45" customHeight="1">
      <c r="A15" s="139"/>
      <c r="B15" s="133"/>
      <c r="C15" s="51">
        <v>2400</v>
      </c>
      <c r="D15" s="52">
        <f aca="true" t="shared" si="15" ref="D15:D21">PI()/2*0.526*POWER(0.126,2)*0.21*C15</f>
        <v>6.611153606410238</v>
      </c>
      <c r="E15" s="58">
        <f aca="true" t="shared" si="16" ref="E15:E21">(C15-1045*SQRT((19.6+101.325)/101.325-1))*D15/C15</f>
        <v>5.345100200014406</v>
      </c>
      <c r="F15" s="52">
        <f aca="true" t="shared" si="17" ref="F15:F21">D15*19.6/98*1.634*1+0.46*POWER(C15/2000,1.8)</f>
        <v>2.799206113226206</v>
      </c>
      <c r="G15" s="59">
        <v>4</v>
      </c>
      <c r="H15" s="58">
        <f aca="true" t="shared" si="18" ref="H15:H21">(C15-1045*SQRT((29.4+101.325)/101.325-1))*D15/C15</f>
        <v>5.060561190019094</v>
      </c>
      <c r="I15" s="52">
        <f aca="true" t="shared" si="19" ref="I15:I21">D15*29.4/98*1.634*1+0.46*POWER(C15/2000,1.8)</f>
        <v>3.879468612513639</v>
      </c>
      <c r="J15" s="51">
        <v>5.5</v>
      </c>
      <c r="K15" s="52">
        <f aca="true" t="shared" si="20" ref="K15:K21">(C15-1045*SQRT((39.2+101.325)/101.325-1))*D15/C15</f>
        <v>4.820683708396598</v>
      </c>
      <c r="L15" s="52">
        <f aca="true" t="shared" si="21" ref="L15:L21">D15*39.2/98*1.634*1+0.46*POWER(C15/2000,1.8)</f>
        <v>4.959731111801072</v>
      </c>
      <c r="M15" s="51">
        <v>7.5</v>
      </c>
      <c r="N15" s="52">
        <f aca="true" t="shared" si="22" ref="N15:N21">(C15-1045*SQRT((49+101.325)/101.325-1))*D15/C15</f>
        <v>4.609347404597432</v>
      </c>
      <c r="O15" s="52">
        <f aca="true" t="shared" si="23" ref="O15:O21">D15*49/98*1.634*1+0.46*POWER(C15/2000,1.8)</f>
        <v>6.039993611088503</v>
      </c>
      <c r="P15" s="51">
        <v>7.5</v>
      </c>
      <c r="Q15" s="52">
        <f aca="true" t="shared" si="24" ref="Q15:Q21">(C15-1045*SQRT((58.8+101.325)/101.325-1))*D15/C15</f>
        <v>4.41828478143701</v>
      </c>
      <c r="R15" s="52">
        <f aca="true" t="shared" si="25" ref="R15:R21">D15*58.8/98*1.634*1+0.46*POWER(C15/2000,1.8)</f>
        <v>7.120256110375937</v>
      </c>
      <c r="S15" s="51">
        <v>11</v>
      </c>
      <c r="T15" s="52">
        <f aca="true" t="shared" si="26" ref="T15:T21">(C15-1045*SQRT((68.6+101.325)/101.325-1))*D15/C15</f>
        <v>4.242584566364601</v>
      </c>
      <c r="U15" s="52">
        <f aca="true" t="shared" si="27" ref="U15:U21">D15*68.6/98*1.634*1+0.46*POWER(C15/2000,1.8)</f>
        <v>8.20051860966337</v>
      </c>
      <c r="V15" s="51">
        <v>11</v>
      </c>
      <c r="W15" s="52">
        <f>(C15-1045*SQRT((78.4+101.325)/101.325-1))*D15/C15</f>
        <v>4.079046793618575</v>
      </c>
      <c r="X15" s="52">
        <f>D15*78.4/98*1.634*1+0.46*POWER(C15/2000,1.8)</f>
        <v>9.280781108950805</v>
      </c>
      <c r="Y15" s="51">
        <v>11</v>
      </c>
      <c r="Z15" s="63"/>
      <c r="AA15" s="63"/>
      <c r="AB15" s="51"/>
      <c r="AC15" s="63"/>
      <c r="AD15" s="63"/>
      <c r="AE15" s="51"/>
      <c r="AF15" s="62">
        <v>2</v>
      </c>
    </row>
    <row r="16" spans="1:32" ht="45" customHeight="1">
      <c r="A16" s="139"/>
      <c r="B16" s="133"/>
      <c r="C16" s="51">
        <v>2750</v>
      </c>
      <c r="D16" s="52">
        <f t="shared" si="15"/>
        <v>7.5752801740117315</v>
      </c>
      <c r="E16" s="58">
        <f t="shared" si="16"/>
        <v>6.3092267676158995</v>
      </c>
      <c r="F16" s="52">
        <f t="shared" si="17"/>
        <v>3.2916251032410724</v>
      </c>
      <c r="G16" s="59">
        <v>4</v>
      </c>
      <c r="H16" s="58">
        <f t="shared" si="18"/>
        <v>6.024687757620587</v>
      </c>
      <c r="I16" s="52">
        <f t="shared" si="19"/>
        <v>4.529425883674589</v>
      </c>
      <c r="J16" s="51">
        <v>5.5</v>
      </c>
      <c r="K16" s="52">
        <f t="shared" si="20"/>
        <v>5.784810275998092</v>
      </c>
      <c r="L16" s="52">
        <f t="shared" si="21"/>
        <v>5.767226664108106</v>
      </c>
      <c r="M16" s="51">
        <v>7.5</v>
      </c>
      <c r="N16" s="52">
        <f t="shared" si="22"/>
        <v>5.573473972198925</v>
      </c>
      <c r="O16" s="52">
        <f t="shared" si="23"/>
        <v>7.005027444541623</v>
      </c>
      <c r="P16" s="51">
        <v>11</v>
      </c>
      <c r="Q16" s="52">
        <f t="shared" si="24"/>
        <v>5.382411349038503</v>
      </c>
      <c r="R16" s="52">
        <f t="shared" si="25"/>
        <v>8.242828224975138</v>
      </c>
      <c r="S16" s="51">
        <v>11</v>
      </c>
      <c r="T16" s="52">
        <f t="shared" si="26"/>
        <v>5.206711133966095</v>
      </c>
      <c r="U16" s="52">
        <f t="shared" si="27"/>
        <v>9.480629005408655</v>
      </c>
      <c r="V16" s="51">
        <v>11</v>
      </c>
      <c r="W16" s="52">
        <f aca="true" t="shared" si="28" ref="W16:W21">(C16-1045*SQRT((78.4+101.325)/101.325-1))*D16/C16</f>
        <v>5.043173361220068</v>
      </c>
      <c r="X16" s="63">
        <f aca="true" t="shared" si="29" ref="X16:X21">D16*78.4/98*1.634*1+0.46*POWER(C16/2000,1.8)</f>
        <v>10.718429785842174</v>
      </c>
      <c r="Y16" s="51">
        <v>15</v>
      </c>
      <c r="Z16" s="52">
        <f aca="true" t="shared" si="30" ref="Z16:Z21">(C16-1045*SQRT((88.2+101.325)/101.325-1))*D16/C16</f>
        <v>4.889575326991271</v>
      </c>
      <c r="AA16" s="63">
        <f aca="true" t="shared" si="31" ref="AA16:AA21">D16*88.2/98*1.634*1+0.46*POWER(C16/2000,1.8)</f>
        <v>11.95623056627569</v>
      </c>
      <c r="AB16" s="51">
        <v>15</v>
      </c>
      <c r="AC16" s="63"/>
      <c r="AD16" s="63"/>
      <c r="AE16" s="51"/>
      <c r="AF16" s="62">
        <v>2</v>
      </c>
    </row>
    <row r="17" spans="1:32" ht="45" customHeight="1">
      <c r="A17" s="139"/>
      <c r="B17" s="133"/>
      <c r="C17" s="51">
        <v>3050</v>
      </c>
      <c r="D17" s="52">
        <f t="shared" si="15"/>
        <v>8.40167437481301</v>
      </c>
      <c r="E17" s="58">
        <f t="shared" si="16"/>
        <v>7.135620968417179</v>
      </c>
      <c r="F17" s="52">
        <f t="shared" si="17"/>
        <v>3.728870990029561</v>
      </c>
      <c r="G17" s="59">
        <v>5.5</v>
      </c>
      <c r="H17" s="58">
        <f t="shared" si="18"/>
        <v>6.851081958421866</v>
      </c>
      <c r="I17" s="52">
        <f t="shared" si="19"/>
        <v>5.101704582874007</v>
      </c>
      <c r="J17" s="51">
        <v>7.5</v>
      </c>
      <c r="K17" s="52">
        <f t="shared" si="20"/>
        <v>6.611204476799371</v>
      </c>
      <c r="L17" s="52">
        <f t="shared" si="21"/>
        <v>6.474538175718453</v>
      </c>
      <c r="M17" s="51">
        <v>7.5</v>
      </c>
      <c r="N17" s="52">
        <f t="shared" si="22"/>
        <v>6.399868173000204</v>
      </c>
      <c r="O17" s="52">
        <f t="shared" si="23"/>
        <v>7.8473717685628985</v>
      </c>
      <c r="P17" s="51">
        <v>11</v>
      </c>
      <c r="Q17" s="52">
        <f t="shared" si="24"/>
        <v>6.2088055498397825</v>
      </c>
      <c r="R17" s="52">
        <f t="shared" si="25"/>
        <v>9.220205361407343</v>
      </c>
      <c r="S17" s="51">
        <v>11</v>
      </c>
      <c r="T17" s="52">
        <f t="shared" si="26"/>
        <v>6.033105334767375</v>
      </c>
      <c r="U17" s="63">
        <f t="shared" si="27"/>
        <v>10.593038954251789</v>
      </c>
      <c r="V17" s="51">
        <v>15</v>
      </c>
      <c r="W17" s="52">
        <f t="shared" si="28"/>
        <v>5.869567562021348</v>
      </c>
      <c r="X17" s="63">
        <f t="shared" si="29"/>
        <v>11.965872547096236</v>
      </c>
      <c r="Y17" s="51">
        <v>15</v>
      </c>
      <c r="Z17" s="52">
        <f t="shared" si="30"/>
        <v>5.71596952779255</v>
      </c>
      <c r="AA17" s="63">
        <f t="shared" si="31"/>
        <v>13.338706139940681</v>
      </c>
      <c r="AB17" s="51">
        <v>18.5</v>
      </c>
      <c r="AC17" s="63"/>
      <c r="AD17" s="63"/>
      <c r="AE17" s="51"/>
      <c r="AF17" s="62">
        <v>2</v>
      </c>
    </row>
    <row r="18" spans="1:32" ht="45" customHeight="1">
      <c r="A18" s="139"/>
      <c r="B18" s="133"/>
      <c r="C18" s="51">
        <v>3500</v>
      </c>
      <c r="D18" s="52">
        <f t="shared" si="15"/>
        <v>9.64126567601493</v>
      </c>
      <c r="E18" s="58">
        <f t="shared" si="16"/>
        <v>8.3752122696191</v>
      </c>
      <c r="F18" s="52">
        <f t="shared" si="17"/>
        <v>4.41034725624861</v>
      </c>
      <c r="G18" s="59">
        <v>5.5</v>
      </c>
      <c r="H18" s="58">
        <f t="shared" si="18"/>
        <v>8.090673259623784</v>
      </c>
      <c r="I18" s="52">
        <f t="shared" si="19"/>
        <v>5.98573006770945</v>
      </c>
      <c r="J18" s="51">
        <v>7.5</v>
      </c>
      <c r="K18" s="52">
        <f t="shared" si="20"/>
        <v>7.850795778001291</v>
      </c>
      <c r="L18" s="52">
        <f t="shared" si="21"/>
        <v>7.561112879170289</v>
      </c>
      <c r="M18" s="51">
        <v>11</v>
      </c>
      <c r="N18" s="52">
        <f t="shared" si="22"/>
        <v>7.6394594742021225</v>
      </c>
      <c r="O18" s="52">
        <f t="shared" si="23"/>
        <v>9.136495690631127</v>
      </c>
      <c r="P18" s="51">
        <v>11</v>
      </c>
      <c r="Q18" s="52">
        <f t="shared" si="24"/>
        <v>7.448396851041702</v>
      </c>
      <c r="R18" s="63">
        <f t="shared" si="25"/>
        <v>10.711878502091968</v>
      </c>
      <c r="S18" s="51">
        <v>15</v>
      </c>
      <c r="T18" s="52">
        <f t="shared" si="26"/>
        <v>7.272696635969294</v>
      </c>
      <c r="U18" s="63">
        <f t="shared" si="27"/>
        <v>12.287261313552806</v>
      </c>
      <c r="V18" s="51">
        <v>15</v>
      </c>
      <c r="W18" s="52">
        <f t="shared" si="28"/>
        <v>7.109158863223267</v>
      </c>
      <c r="X18" s="63">
        <f t="shared" si="29"/>
        <v>13.862644125013647</v>
      </c>
      <c r="Y18" s="51">
        <v>18.5</v>
      </c>
      <c r="Z18" s="52">
        <f t="shared" si="30"/>
        <v>6.95556082899447</v>
      </c>
      <c r="AA18" s="63">
        <f t="shared" si="31"/>
        <v>15.438026936474486</v>
      </c>
      <c r="AB18" s="51">
        <v>18.5</v>
      </c>
      <c r="AC18" s="52">
        <f>(C18-1045*SQRT((98+101.325)/101.325-1))*D18/C18</f>
        <v>6.810284196168684</v>
      </c>
      <c r="AD18" s="63">
        <f>D18*98/98*1.634*1+0.46*POWER(C18/2000,1.8)</f>
        <v>17.013409747935324</v>
      </c>
      <c r="AE18" s="51">
        <v>22</v>
      </c>
      <c r="AF18" s="62">
        <v>2</v>
      </c>
    </row>
    <row r="19" spans="1:32" ht="45" customHeight="1">
      <c r="A19" s="139"/>
      <c r="B19" s="133"/>
      <c r="C19" s="51">
        <v>3950</v>
      </c>
      <c r="D19" s="52">
        <f t="shared" si="15"/>
        <v>10.880856977216851</v>
      </c>
      <c r="E19" s="58">
        <f t="shared" si="16"/>
        <v>9.614803570821019</v>
      </c>
      <c r="F19" s="52">
        <f t="shared" si="17"/>
        <v>5.121816658001706</v>
      </c>
      <c r="G19" s="59">
        <v>7.5</v>
      </c>
      <c r="H19" s="58">
        <f t="shared" si="18"/>
        <v>9.330264560825706</v>
      </c>
      <c r="I19" s="52">
        <f t="shared" si="19"/>
        <v>6.8997486880789385</v>
      </c>
      <c r="J19" s="51">
        <v>11</v>
      </c>
      <c r="K19" s="52">
        <f t="shared" si="20"/>
        <v>9.090387079203213</v>
      </c>
      <c r="L19" s="52">
        <f t="shared" si="21"/>
        <v>8.677680718156173</v>
      </c>
      <c r="M19" s="51">
        <v>11</v>
      </c>
      <c r="N19" s="52">
        <f t="shared" si="22"/>
        <v>8.879050775404043</v>
      </c>
      <c r="O19" s="63">
        <f t="shared" si="23"/>
        <v>10.455612748233406</v>
      </c>
      <c r="P19" s="51">
        <v>15</v>
      </c>
      <c r="Q19" s="52">
        <f t="shared" si="24"/>
        <v>8.687988152243623</v>
      </c>
      <c r="R19" s="63">
        <f t="shared" si="25"/>
        <v>12.23354477831064</v>
      </c>
      <c r="S19" s="51">
        <v>15</v>
      </c>
      <c r="T19" s="52">
        <f t="shared" si="26"/>
        <v>8.512287937171216</v>
      </c>
      <c r="U19" s="63">
        <f t="shared" si="27"/>
        <v>14.011476808387872</v>
      </c>
      <c r="V19" s="51">
        <v>18.5</v>
      </c>
      <c r="W19" s="52">
        <f t="shared" si="28"/>
        <v>8.348750164425189</v>
      </c>
      <c r="X19" s="63">
        <f t="shared" si="29"/>
        <v>15.789408838465109</v>
      </c>
      <c r="Y19" s="51">
        <v>18.5</v>
      </c>
      <c r="Z19" s="52">
        <f t="shared" si="30"/>
        <v>8.19515213019639</v>
      </c>
      <c r="AA19" s="63">
        <f t="shared" si="31"/>
        <v>17.567340868542342</v>
      </c>
      <c r="AB19" s="51">
        <v>22</v>
      </c>
      <c r="AC19" s="52">
        <f>(C19-1045*SQRT((98+101.325)/101.325-1))*D19/C19</f>
        <v>8.049875497370605</v>
      </c>
      <c r="AD19" s="63">
        <f>D19*98/98*1.634*1+0.46*POWER(C19/2000,1.8)</f>
        <v>19.345272898619573</v>
      </c>
      <c r="AE19" s="51">
        <v>22</v>
      </c>
      <c r="AF19" s="62">
        <v>2</v>
      </c>
    </row>
    <row r="20" spans="1:32" ht="45" customHeight="1">
      <c r="A20" s="139"/>
      <c r="B20" s="133"/>
      <c r="C20" s="51">
        <v>4400</v>
      </c>
      <c r="D20" s="52">
        <f t="shared" si="15"/>
        <v>12.12044827841877</v>
      </c>
      <c r="E20" s="72">
        <f t="shared" si="16"/>
        <v>10.854394872022938</v>
      </c>
      <c r="F20" s="52">
        <f t="shared" si="17"/>
        <v>5.862560257480324</v>
      </c>
      <c r="G20" s="59">
        <v>7.5</v>
      </c>
      <c r="H20" s="63">
        <f t="shared" si="18"/>
        <v>10.569855862027625</v>
      </c>
      <c r="I20" s="52">
        <f t="shared" si="19"/>
        <v>7.843041506173951</v>
      </c>
      <c r="J20" s="51">
        <v>11</v>
      </c>
      <c r="K20" s="63">
        <f t="shared" si="20"/>
        <v>10.329978380405132</v>
      </c>
      <c r="L20" s="52">
        <f t="shared" si="21"/>
        <v>9.823522754867579</v>
      </c>
      <c r="M20" s="51">
        <v>15</v>
      </c>
      <c r="N20" s="63">
        <f t="shared" si="22"/>
        <v>10.118642076605964</v>
      </c>
      <c r="O20" s="63">
        <f t="shared" si="23"/>
        <v>11.804004003561205</v>
      </c>
      <c r="P20" s="51">
        <v>15</v>
      </c>
      <c r="Q20" s="52">
        <f t="shared" si="24"/>
        <v>9.927579453445542</v>
      </c>
      <c r="R20" s="63">
        <f t="shared" si="25"/>
        <v>13.784485252254832</v>
      </c>
      <c r="S20" s="51">
        <v>18.5</v>
      </c>
      <c r="T20" s="52">
        <f t="shared" si="26"/>
        <v>9.751879238373133</v>
      </c>
      <c r="U20" s="63">
        <f t="shared" si="27"/>
        <v>15.764966500948457</v>
      </c>
      <c r="V20" s="51">
        <v>18.5</v>
      </c>
      <c r="W20" s="52">
        <f t="shared" si="28"/>
        <v>9.588341465627106</v>
      </c>
      <c r="X20" s="63">
        <f t="shared" si="29"/>
        <v>17.745447749642086</v>
      </c>
      <c r="Y20" s="51">
        <v>22</v>
      </c>
      <c r="Z20" s="52">
        <f t="shared" si="30"/>
        <v>9.43474343139831</v>
      </c>
      <c r="AA20" s="63">
        <f t="shared" si="31"/>
        <v>19.72592899833571</v>
      </c>
      <c r="AB20" s="51">
        <v>30</v>
      </c>
      <c r="AC20" s="52">
        <f>(C20-1045*SQRT((98+101.325)/101.325-1))*D20/C20</f>
        <v>9.289466798572525</v>
      </c>
      <c r="AD20" s="63">
        <f>D20*98/98*1.634*1+0.46*POWER(C20/2000,1.8)</f>
        <v>21.70641024702934</v>
      </c>
      <c r="AE20" s="51">
        <v>30</v>
      </c>
      <c r="AF20" s="62">
        <v>2</v>
      </c>
    </row>
    <row r="21" spans="1:32" ht="45" customHeight="1">
      <c r="A21" s="142"/>
      <c r="B21" s="134"/>
      <c r="C21" s="64">
        <v>4700</v>
      </c>
      <c r="D21" s="66">
        <f t="shared" si="15"/>
        <v>12.94684247922005</v>
      </c>
      <c r="E21" s="73">
        <f t="shared" si="16"/>
        <v>11.680789072824217</v>
      </c>
      <c r="F21" s="66">
        <f t="shared" si="17"/>
        <v>6.372340284724638</v>
      </c>
      <c r="G21" s="74">
        <v>7.5</v>
      </c>
      <c r="H21" s="75">
        <f t="shared" si="18"/>
        <v>11.396250062828903</v>
      </c>
      <c r="I21" s="66">
        <f t="shared" si="19"/>
        <v>8.487854345829195</v>
      </c>
      <c r="J21" s="64">
        <v>11</v>
      </c>
      <c r="K21" s="75">
        <f t="shared" si="20"/>
        <v>11.15637258120641</v>
      </c>
      <c r="L21" s="75">
        <f t="shared" si="21"/>
        <v>10.60336840693375</v>
      </c>
      <c r="M21" s="64">
        <v>15</v>
      </c>
      <c r="N21" s="75">
        <f t="shared" si="22"/>
        <v>10.945036277407244</v>
      </c>
      <c r="O21" s="75">
        <f t="shared" si="23"/>
        <v>12.718882468038306</v>
      </c>
      <c r="P21" s="64">
        <v>15</v>
      </c>
      <c r="Q21" s="75">
        <f t="shared" si="24"/>
        <v>10.753973654246822</v>
      </c>
      <c r="R21" s="75">
        <f t="shared" si="25"/>
        <v>14.834396529142863</v>
      </c>
      <c r="S21" s="64">
        <v>18.5</v>
      </c>
      <c r="T21" s="75">
        <f t="shared" si="26"/>
        <v>10.578273439174414</v>
      </c>
      <c r="U21" s="75">
        <f t="shared" si="27"/>
        <v>16.949910590247416</v>
      </c>
      <c r="V21" s="64">
        <v>22</v>
      </c>
      <c r="W21" s="75">
        <f t="shared" si="28"/>
        <v>10.414735666428387</v>
      </c>
      <c r="X21" s="75">
        <f t="shared" si="29"/>
        <v>19.065424651351975</v>
      </c>
      <c r="Y21" s="64">
        <v>22</v>
      </c>
      <c r="Z21" s="75">
        <f t="shared" si="30"/>
        <v>10.26113763219959</v>
      </c>
      <c r="AA21" s="75">
        <f t="shared" si="31"/>
        <v>21.18093871245653</v>
      </c>
      <c r="AB21" s="64">
        <v>30</v>
      </c>
      <c r="AC21" s="75">
        <f>(C21-1045*SQRT((98+101.325)/101.325-1))*D21/C21</f>
        <v>10.115860999373805</v>
      </c>
      <c r="AD21" s="75">
        <f>D21*98/98*1.634*1+0.46*POWER(C21/2000,1.8)</f>
        <v>23.296452773561086</v>
      </c>
      <c r="AE21" s="64">
        <v>30</v>
      </c>
      <c r="AF21" s="67">
        <v>2</v>
      </c>
    </row>
    <row r="22" spans="1:32" ht="45" customHeight="1">
      <c r="A22" s="159" t="s">
        <v>17</v>
      </c>
      <c r="B22" s="133">
        <v>100</v>
      </c>
      <c r="C22" s="51">
        <v>2000</v>
      </c>
      <c r="D22" s="52">
        <f>PI()/2*0.526*POWER(0.126,2)*0.3*C22</f>
        <v>7.870420960012187</v>
      </c>
      <c r="E22" s="58">
        <f>(C22-775*SQRT((19.6+101.325)/101.325-1))*D22/C22</f>
        <v>6.529079346947568</v>
      </c>
      <c r="F22" s="52">
        <f>D22*19.6/98*1.634*1+0.75*POWER(C22/2000,1.8)</f>
        <v>3.322053569731983</v>
      </c>
      <c r="G22" s="59">
        <v>5.5</v>
      </c>
      <c r="H22" s="58">
        <f>(C22-775*SQRT((29.4+101.325)/101.325-1))*D22/C22</f>
        <v>6.227619698627174</v>
      </c>
      <c r="I22" s="52">
        <f>D22*29.4/98*1.634*1+0.75*POWER(C22/2000,1.8)</f>
        <v>4.608080354597973</v>
      </c>
      <c r="J22" s="51">
        <v>7.5</v>
      </c>
      <c r="K22" s="52">
        <f>(C22-775*SQRT((39.2+101.325)/101.325-1))*D22/C22</f>
        <v>5.973477459040799</v>
      </c>
      <c r="L22" s="52">
        <f>D22*39.2/98*1.634*1+0.75*POWER(C22/2000,1.8)</f>
        <v>5.894107139463966</v>
      </c>
      <c r="M22" s="51">
        <v>7.5</v>
      </c>
      <c r="N22" s="52">
        <f>(C22-775*SQRT((49+101.325)/101.325-1))*D22/C22</f>
        <v>5.749573651187956</v>
      </c>
      <c r="O22" s="52">
        <f>D22*49/98*1.634*1+0.75*POWER(C22/2000,1.8)</f>
        <v>7.180133924329956</v>
      </c>
      <c r="P22" s="51">
        <v>11</v>
      </c>
      <c r="Q22" s="52">
        <f>(C22-775*SQRT((58.8+101.325)/101.325-1))*D22/C22</f>
        <v>5.547149135877872</v>
      </c>
      <c r="R22" s="52">
        <f>D22*58.8/98*1.634*1+0.75*POWER(C22/2000,1.8)</f>
        <v>8.466160709195947</v>
      </c>
      <c r="S22" s="51">
        <v>11</v>
      </c>
      <c r="T22" s="52">
        <f>(C22-775*SQRT((68.6+101.325)/101.325-1))*D22/C22</f>
        <v>5.361000582656934</v>
      </c>
      <c r="U22" s="52">
        <f>D22*68.6/98*1.634*1+0.75*POWER(C22/2000,1.8)</f>
        <v>9.752187494061937</v>
      </c>
      <c r="V22" s="51">
        <v>11</v>
      </c>
      <c r="W22" s="52"/>
      <c r="X22" s="51"/>
      <c r="Y22" s="51"/>
      <c r="Z22" s="51"/>
      <c r="AA22" s="51"/>
      <c r="AB22" s="51"/>
      <c r="AC22" s="51"/>
      <c r="AD22" s="51"/>
      <c r="AE22" s="51"/>
      <c r="AF22" s="62">
        <v>2</v>
      </c>
    </row>
    <row r="23" spans="1:32" ht="45" customHeight="1">
      <c r="A23" s="159"/>
      <c r="B23" s="133"/>
      <c r="C23" s="51">
        <v>2400</v>
      </c>
      <c r="D23" s="52">
        <f aca="true" t="shared" si="32" ref="D23:D29">PI()/2*0.526*POWER(0.126,2)*0.3*C23</f>
        <v>9.444505152014624</v>
      </c>
      <c r="E23" s="58">
        <f aca="true" t="shared" si="33" ref="E23:E29">(C23-775*SQRT((19.6+101.325)/101.325-1))*D23/C23</f>
        <v>8.103163538950005</v>
      </c>
      <c r="F23" s="52">
        <f aca="true" t="shared" si="34" ref="F23:F29">D23*19.6/98*1.634*1+0.75*POWER(C23/2000,1.8)</f>
        <v>4.127792188001218</v>
      </c>
      <c r="G23" s="59">
        <v>5.5</v>
      </c>
      <c r="H23" s="58">
        <f aca="true" t="shared" si="35" ref="H23:H29">(C23-775*SQRT((29.4+101.325)/101.325-1))*D23/C23</f>
        <v>7.80170389062961</v>
      </c>
      <c r="I23" s="52">
        <f aca="true" t="shared" si="36" ref="I23:I29">D23*29.4/98*1.634*1+0.75*POWER(C23/2000,1.8)</f>
        <v>5.671024329840405</v>
      </c>
      <c r="J23" s="51">
        <v>7.5</v>
      </c>
      <c r="K23" s="52">
        <f aca="true" t="shared" si="37" ref="K23:K29">(C23-775*SQRT((39.2+101.325)/101.325-1))*D23/C23</f>
        <v>7.547561651043235</v>
      </c>
      <c r="L23" s="52">
        <f aca="true" t="shared" si="38" ref="L23:L29">D23*39.2/98*1.634*1+0.75*POWER(C23/2000,1.8)</f>
        <v>7.214256471679597</v>
      </c>
      <c r="M23" s="51">
        <v>11</v>
      </c>
      <c r="N23" s="52">
        <f aca="true" t="shared" si="39" ref="N23:N29">(C23-775*SQRT((49+101.325)/101.325-1))*D23/C23</f>
        <v>7.323657843190393</v>
      </c>
      <c r="O23" s="52">
        <f aca="true" t="shared" si="40" ref="O23:O29">D23*49/98*1.634*1+0.75*POWER(C23/2000,1.8)</f>
        <v>8.757488613518785</v>
      </c>
      <c r="P23" s="51">
        <v>11</v>
      </c>
      <c r="Q23" s="52">
        <f aca="true" t="shared" si="41" ref="Q23:Q29">(C23-775*SQRT((58.8+101.325)/101.325-1))*D23/C23</f>
        <v>7.121233327880309</v>
      </c>
      <c r="R23" s="63">
        <f aca="true" t="shared" si="42" ref="R23:R29">D23*58.8/98*1.634*1+0.75*POWER(C23/2000,1.8)</f>
        <v>10.300720755357974</v>
      </c>
      <c r="S23" s="51">
        <v>15</v>
      </c>
      <c r="T23" s="52">
        <f aca="true" t="shared" si="43" ref="T23:T29">(C23-775*SQRT((68.6+101.325)/101.325-1))*D23/C23</f>
        <v>6.93508477465937</v>
      </c>
      <c r="U23" s="63">
        <f aca="true" t="shared" si="44" ref="U23:U29">D23*68.6/98*1.634*1+0.75*POWER(C23/2000,1.8)</f>
        <v>11.843952897197164</v>
      </c>
      <c r="V23" s="51">
        <v>15</v>
      </c>
      <c r="W23" s="52"/>
      <c r="X23" s="51"/>
      <c r="Y23" s="51"/>
      <c r="Z23" s="51"/>
      <c r="AA23" s="51"/>
      <c r="AB23" s="51"/>
      <c r="AC23" s="51"/>
      <c r="AD23" s="51"/>
      <c r="AE23" s="51"/>
      <c r="AF23" s="62">
        <v>2</v>
      </c>
    </row>
    <row r="24" spans="1:32" ht="45" customHeight="1">
      <c r="A24" s="159"/>
      <c r="B24" s="133"/>
      <c r="C24" s="51">
        <v>2700</v>
      </c>
      <c r="D24" s="52">
        <f t="shared" si="32"/>
        <v>10.625068296016453</v>
      </c>
      <c r="E24" s="58">
        <f t="shared" si="33"/>
        <v>9.283726682951833</v>
      </c>
      <c r="F24" s="52">
        <f t="shared" si="34"/>
        <v>4.759519788426105</v>
      </c>
      <c r="G24" s="59">
        <v>7.5</v>
      </c>
      <c r="H24" s="58">
        <f t="shared" si="35"/>
        <v>8.982267034631437</v>
      </c>
      <c r="I24" s="52">
        <f t="shared" si="36"/>
        <v>6.495655947995193</v>
      </c>
      <c r="J24" s="51">
        <v>7.5</v>
      </c>
      <c r="K24" s="52">
        <f t="shared" si="37"/>
        <v>8.728124795045064</v>
      </c>
      <c r="L24" s="52">
        <f t="shared" si="38"/>
        <v>8.231792107564281</v>
      </c>
      <c r="M24" s="51">
        <v>11</v>
      </c>
      <c r="N24" s="52">
        <f t="shared" si="39"/>
        <v>8.504220987192221</v>
      </c>
      <c r="O24" s="63">
        <f t="shared" si="40"/>
        <v>9.967928267133372</v>
      </c>
      <c r="P24" s="51">
        <v>15</v>
      </c>
      <c r="Q24" s="52">
        <f t="shared" si="41"/>
        <v>8.301796471882136</v>
      </c>
      <c r="R24" s="63">
        <f t="shared" si="42"/>
        <v>11.704064426702457</v>
      </c>
      <c r="S24" s="51">
        <v>15</v>
      </c>
      <c r="T24" s="52">
        <f t="shared" si="43"/>
        <v>8.1156479186612</v>
      </c>
      <c r="U24" s="63">
        <f t="shared" si="44"/>
        <v>13.440200586271546</v>
      </c>
      <c r="V24" s="51">
        <v>18.5</v>
      </c>
      <c r="W24" s="52"/>
      <c r="X24" s="51"/>
      <c r="Y24" s="51"/>
      <c r="Z24" s="51"/>
      <c r="AA24" s="51"/>
      <c r="AB24" s="51"/>
      <c r="AC24" s="51"/>
      <c r="AD24" s="51"/>
      <c r="AE24" s="51"/>
      <c r="AF24" s="62">
        <v>2</v>
      </c>
    </row>
    <row r="25" spans="1:32" ht="45" customHeight="1">
      <c r="A25" s="159"/>
      <c r="B25" s="133"/>
      <c r="C25" s="51">
        <v>3050</v>
      </c>
      <c r="D25" s="52">
        <f t="shared" si="32"/>
        <v>12.002391964018585</v>
      </c>
      <c r="E25" s="72">
        <f t="shared" si="33"/>
        <v>10.661050350953966</v>
      </c>
      <c r="F25" s="52">
        <f t="shared" si="34"/>
        <v>5.525431374831495</v>
      </c>
      <c r="G25" s="59">
        <v>7.5</v>
      </c>
      <c r="H25" s="63">
        <f t="shared" si="35"/>
        <v>10.359590702633572</v>
      </c>
      <c r="I25" s="52">
        <f t="shared" si="36"/>
        <v>7.486622221752132</v>
      </c>
      <c r="J25" s="51">
        <v>11</v>
      </c>
      <c r="K25" s="52">
        <f t="shared" si="37"/>
        <v>10.105448463047194</v>
      </c>
      <c r="L25" s="52">
        <f t="shared" si="38"/>
        <v>9.447813068672769</v>
      </c>
      <c r="M25" s="51">
        <v>11</v>
      </c>
      <c r="N25" s="52">
        <f t="shared" si="39"/>
        <v>9.881544655194354</v>
      </c>
      <c r="O25" s="63">
        <f t="shared" si="40"/>
        <v>11.409003915593404</v>
      </c>
      <c r="P25" s="51">
        <v>15</v>
      </c>
      <c r="Q25" s="52">
        <f t="shared" si="41"/>
        <v>9.67912013988427</v>
      </c>
      <c r="R25" s="63">
        <f t="shared" si="42"/>
        <v>13.370194762514043</v>
      </c>
      <c r="S25" s="51">
        <v>18.5</v>
      </c>
      <c r="T25" s="52">
        <f t="shared" si="43"/>
        <v>9.492971586663332</v>
      </c>
      <c r="U25" s="63">
        <f t="shared" si="44"/>
        <v>15.331385609434676</v>
      </c>
      <c r="V25" s="51">
        <v>18.5</v>
      </c>
      <c r="W25" s="52"/>
      <c r="X25" s="51"/>
      <c r="Y25" s="51"/>
      <c r="Z25" s="51"/>
      <c r="AA25" s="51"/>
      <c r="AB25" s="51"/>
      <c r="AC25" s="51"/>
      <c r="AD25" s="51"/>
      <c r="AE25" s="51"/>
      <c r="AF25" s="62">
        <v>2</v>
      </c>
    </row>
    <row r="26" spans="1:32" ht="45" customHeight="1">
      <c r="A26" s="159"/>
      <c r="B26" s="133"/>
      <c r="C26" s="51">
        <v>3500</v>
      </c>
      <c r="D26" s="52">
        <f t="shared" si="32"/>
        <v>13.773236680021327</v>
      </c>
      <c r="E26" s="72">
        <f t="shared" si="33"/>
        <v>12.431895066956706</v>
      </c>
      <c r="F26" s="52">
        <f t="shared" si="34"/>
        <v>6.554759453542269</v>
      </c>
      <c r="G26" s="59">
        <v>7.5</v>
      </c>
      <c r="H26" s="63">
        <f t="shared" si="35"/>
        <v>12.130435418636313</v>
      </c>
      <c r="I26" s="52">
        <f t="shared" si="36"/>
        <v>8.805306327057753</v>
      </c>
      <c r="J26" s="51">
        <v>11</v>
      </c>
      <c r="K26" s="63">
        <f t="shared" si="37"/>
        <v>11.876293179049938</v>
      </c>
      <c r="L26" s="63">
        <f t="shared" si="38"/>
        <v>11.055853200573239</v>
      </c>
      <c r="M26" s="51">
        <v>15</v>
      </c>
      <c r="N26" s="63">
        <f t="shared" si="39"/>
        <v>11.652389371197097</v>
      </c>
      <c r="O26" s="63">
        <f t="shared" si="40"/>
        <v>13.306400074088724</v>
      </c>
      <c r="P26" s="51">
        <v>18.5</v>
      </c>
      <c r="Q26" s="63">
        <f t="shared" si="41"/>
        <v>11.44996485588701</v>
      </c>
      <c r="R26" s="63">
        <f t="shared" si="42"/>
        <v>15.556946947604207</v>
      </c>
      <c r="S26" s="51">
        <v>18.5</v>
      </c>
      <c r="T26" s="63">
        <f t="shared" si="43"/>
        <v>11.263816302666072</v>
      </c>
      <c r="U26" s="63">
        <f t="shared" si="44"/>
        <v>17.807493821119692</v>
      </c>
      <c r="V26" s="51">
        <v>22</v>
      </c>
      <c r="W26" s="63"/>
      <c r="X26" s="51"/>
      <c r="Y26" s="51"/>
      <c r="Z26" s="51"/>
      <c r="AA26" s="51"/>
      <c r="AB26" s="51"/>
      <c r="AC26" s="51"/>
      <c r="AD26" s="51"/>
      <c r="AE26" s="51"/>
      <c r="AF26" s="62">
        <v>2</v>
      </c>
    </row>
    <row r="27" spans="1:32" ht="45" customHeight="1">
      <c r="A27" s="159"/>
      <c r="B27" s="133"/>
      <c r="C27" s="51">
        <v>3950</v>
      </c>
      <c r="D27" s="52">
        <f t="shared" si="32"/>
        <v>15.54408139602407</v>
      </c>
      <c r="E27" s="72">
        <f t="shared" si="33"/>
        <v>14.202739782959451</v>
      </c>
      <c r="F27" s="52">
        <f t="shared" si="34"/>
        <v>7.632989383667251</v>
      </c>
      <c r="G27" s="59">
        <v>11</v>
      </c>
      <c r="H27" s="63">
        <f t="shared" si="35"/>
        <v>13.901280134639057</v>
      </c>
      <c r="I27" s="63">
        <f t="shared" si="36"/>
        <v>10.172892283777585</v>
      </c>
      <c r="J27" s="51">
        <v>15</v>
      </c>
      <c r="K27" s="63">
        <f t="shared" si="37"/>
        <v>13.647137895052682</v>
      </c>
      <c r="L27" s="63">
        <f t="shared" si="38"/>
        <v>12.712795183887916</v>
      </c>
      <c r="M27" s="51">
        <v>15</v>
      </c>
      <c r="N27" s="63">
        <f t="shared" si="39"/>
        <v>13.42323408719984</v>
      </c>
      <c r="O27" s="63">
        <f t="shared" si="40"/>
        <v>15.25269808399825</v>
      </c>
      <c r="P27" s="51">
        <v>18.5</v>
      </c>
      <c r="Q27" s="63">
        <f t="shared" si="41"/>
        <v>13.220809571889756</v>
      </c>
      <c r="R27" s="63">
        <f t="shared" si="42"/>
        <v>17.792600984108585</v>
      </c>
      <c r="S27" s="51">
        <v>22</v>
      </c>
      <c r="T27" s="63">
        <f t="shared" si="43"/>
        <v>13.034661018668817</v>
      </c>
      <c r="U27" s="63">
        <f t="shared" si="44"/>
        <v>20.332503884218912</v>
      </c>
      <c r="V27" s="51">
        <v>30</v>
      </c>
      <c r="W27" s="63"/>
      <c r="X27" s="51"/>
      <c r="Y27" s="51"/>
      <c r="Z27" s="51"/>
      <c r="AA27" s="51"/>
      <c r="AB27" s="51"/>
      <c r="AC27" s="51"/>
      <c r="AD27" s="51"/>
      <c r="AE27" s="51"/>
      <c r="AF27" s="62">
        <v>2</v>
      </c>
    </row>
    <row r="28" spans="1:32" ht="45" customHeight="1">
      <c r="A28" s="159"/>
      <c r="B28" s="133"/>
      <c r="C28" s="51">
        <v>4400</v>
      </c>
      <c r="D28" s="52">
        <f t="shared" si="32"/>
        <v>17.31492611202681</v>
      </c>
      <c r="E28" s="72">
        <f t="shared" si="33"/>
        <v>15.973584498962191</v>
      </c>
      <c r="F28" s="52">
        <f t="shared" si="34"/>
        <v>8.75894898399689</v>
      </c>
      <c r="G28" s="59">
        <v>11</v>
      </c>
      <c r="H28" s="63">
        <f t="shared" si="35"/>
        <v>15.672124850641795</v>
      </c>
      <c r="I28" s="63">
        <f t="shared" si="36"/>
        <v>11.588207910702069</v>
      </c>
      <c r="J28" s="51">
        <v>15</v>
      </c>
      <c r="K28" s="63">
        <f t="shared" si="37"/>
        <v>15.41798261105542</v>
      </c>
      <c r="L28" s="63">
        <f t="shared" si="38"/>
        <v>14.417466837407252</v>
      </c>
      <c r="M28" s="51">
        <v>18.5</v>
      </c>
      <c r="N28" s="63">
        <f t="shared" si="39"/>
        <v>15.194078803202581</v>
      </c>
      <c r="O28" s="63">
        <f t="shared" si="40"/>
        <v>17.24672576411243</v>
      </c>
      <c r="P28" s="51">
        <v>22</v>
      </c>
      <c r="Q28" s="63">
        <f t="shared" si="41"/>
        <v>14.991654287892494</v>
      </c>
      <c r="R28" s="63">
        <f t="shared" si="42"/>
        <v>20.075984690817613</v>
      </c>
      <c r="S28" s="51">
        <v>30</v>
      </c>
      <c r="T28" s="63">
        <f t="shared" si="43"/>
        <v>14.805505734671558</v>
      </c>
      <c r="U28" s="63">
        <f t="shared" si="44"/>
        <v>22.905243617522792</v>
      </c>
      <c r="V28" s="51">
        <v>30</v>
      </c>
      <c r="W28" s="63"/>
      <c r="X28" s="51"/>
      <c r="Y28" s="51"/>
      <c r="Z28" s="51"/>
      <c r="AA28" s="51"/>
      <c r="AB28" s="51"/>
      <c r="AC28" s="51"/>
      <c r="AD28" s="51"/>
      <c r="AE28" s="51"/>
      <c r="AF28" s="62">
        <v>2</v>
      </c>
    </row>
    <row r="29" spans="1:32" ht="45" customHeight="1">
      <c r="A29" s="160"/>
      <c r="B29" s="134"/>
      <c r="C29" s="64">
        <v>4700</v>
      </c>
      <c r="D29" s="52">
        <f t="shared" si="32"/>
        <v>18.49548925602864</v>
      </c>
      <c r="E29" s="72">
        <f t="shared" si="33"/>
        <v>17.15414764296402</v>
      </c>
      <c r="F29" s="52">
        <f t="shared" si="34"/>
        <v>9.535595719058518</v>
      </c>
      <c r="G29" s="59">
        <v>11</v>
      </c>
      <c r="H29" s="63">
        <f t="shared" si="35"/>
        <v>16.852687994643627</v>
      </c>
      <c r="I29" s="63">
        <f t="shared" si="36"/>
        <v>12.557758663493598</v>
      </c>
      <c r="J29" s="51">
        <v>15</v>
      </c>
      <c r="K29" s="63">
        <f t="shared" si="37"/>
        <v>16.598545755057252</v>
      </c>
      <c r="L29" s="63">
        <f t="shared" si="38"/>
        <v>15.579921607928679</v>
      </c>
      <c r="M29" s="51">
        <v>18.5</v>
      </c>
      <c r="N29" s="63">
        <f t="shared" si="39"/>
        <v>16.37464194720441</v>
      </c>
      <c r="O29" s="63">
        <f t="shared" si="40"/>
        <v>18.602084552363756</v>
      </c>
      <c r="P29" s="51">
        <v>22</v>
      </c>
      <c r="Q29" s="63">
        <f t="shared" si="41"/>
        <v>16.172217431894325</v>
      </c>
      <c r="R29" s="63">
        <f t="shared" si="42"/>
        <v>21.624247496798837</v>
      </c>
      <c r="S29" s="51">
        <v>30</v>
      </c>
      <c r="T29" s="63">
        <f t="shared" si="43"/>
        <v>15.986068878673386</v>
      </c>
      <c r="U29" s="63">
        <f t="shared" si="44"/>
        <v>24.646410441233915</v>
      </c>
      <c r="V29" s="51">
        <v>30</v>
      </c>
      <c r="W29" s="63"/>
      <c r="X29" s="51"/>
      <c r="Y29" s="51"/>
      <c r="Z29" s="51"/>
      <c r="AA29" s="51"/>
      <c r="AB29" s="51"/>
      <c r="AC29" s="51"/>
      <c r="AD29" s="51"/>
      <c r="AE29" s="51"/>
      <c r="AF29" s="67">
        <v>2</v>
      </c>
    </row>
    <row r="30" spans="1:32" ht="45" customHeight="1">
      <c r="A30" s="141" t="s">
        <v>18</v>
      </c>
      <c r="B30" s="68"/>
      <c r="C30" s="68">
        <v>2000</v>
      </c>
      <c r="D30" s="60">
        <f>PI()/2*0.526*POWER(0.171,2)*0.21*C30</f>
        <v>10.14722130915857</v>
      </c>
      <c r="E30" s="69">
        <f>(C30-755*SQRT((19.6+101.325)/101.325-1))*D30/C30</f>
        <v>8.46247769925614</v>
      </c>
      <c r="F30" s="60">
        <f>D30*19.6/98*1.634*1+0.8*POWER(C30/2000,2.3)</f>
        <v>4.116111923833021</v>
      </c>
      <c r="G30" s="70">
        <v>5.5</v>
      </c>
      <c r="H30" s="69">
        <f>(C30-755*SQRT((29.4+101.325)/101.325-1))*D30/C30</f>
        <v>8.083840213320817</v>
      </c>
      <c r="I30" s="60">
        <f>D30*29.4/98*1.634*1+0.8*POWER(C30/2000,2.3)</f>
        <v>5.774167885749532</v>
      </c>
      <c r="J30" s="68">
        <v>7.5</v>
      </c>
      <c r="K30" s="60">
        <f>(C30-755*SQRT((39.2+101.325)/101.325-1))*D30/C30</f>
        <v>7.764634046913147</v>
      </c>
      <c r="L30" s="60">
        <f>D30*39.2/98*1.634*1+0.8*POWER(C30/2000,2.3)</f>
        <v>7.432223847666042</v>
      </c>
      <c r="M30" s="68">
        <v>11</v>
      </c>
      <c r="N30" s="60">
        <f>(C30-755*SQRT((49+101.325)/101.325-1))*D30/C30</f>
        <v>7.483407768805628</v>
      </c>
      <c r="O30" s="60">
        <f>D30*49/98*1.634*1+0.8*POWER(C30/2000,2.3)</f>
        <v>9.090279809582553</v>
      </c>
      <c r="P30" s="68">
        <v>11</v>
      </c>
      <c r="Q30" s="60">
        <f>(C30-755*SQRT((58.8+101.325)/101.325-1))*D30/C30</f>
        <v>7.229159779080561</v>
      </c>
      <c r="R30" s="71">
        <f>D30*58.8/98*1.634*1+0.8*POWER(C30/2000,2.3)</f>
        <v>10.748335771499065</v>
      </c>
      <c r="S30" s="68">
        <v>15</v>
      </c>
      <c r="T30" s="60">
        <f>(C30-755*SQRT((68.6+101.325)/101.325-1))*D30/C30</f>
        <v>6.995354622752758</v>
      </c>
      <c r="U30" s="71">
        <f>D30*68.6/98*1.634*1+0.8*POWER(C30/2000,2.3)</f>
        <v>12.406391733415573</v>
      </c>
      <c r="V30" s="68">
        <v>15</v>
      </c>
      <c r="W30" s="60">
        <f>(C30-755*SQRT((78.4+101.325)/101.325-1))*D30/C30</f>
        <v>6.77773408935371</v>
      </c>
      <c r="X30" s="71">
        <f>D30*78.4/98*1.634*1+0.8*POWER(C30/2000,2.3)</f>
        <v>14.064447695332085</v>
      </c>
      <c r="Y30" s="68">
        <v>18.5</v>
      </c>
      <c r="Z30" s="60">
        <f>(C30-755*SQRT((88.2+101.325)/101.325-1))*D30/C30</f>
        <v>6.573340415790434</v>
      </c>
      <c r="AA30" s="71">
        <f>D30*88.2/98*1.634*1+0.8*POWER(C30/2000,2.3)</f>
        <v>15.722503657248595</v>
      </c>
      <c r="AB30" s="68">
        <v>18.5</v>
      </c>
      <c r="AC30" s="60"/>
      <c r="AD30" s="71"/>
      <c r="AE30" s="68"/>
      <c r="AF30" s="61">
        <v>2</v>
      </c>
    </row>
    <row r="31" spans="1:32" ht="45" customHeight="1">
      <c r="A31" s="139"/>
      <c r="B31" s="51"/>
      <c r="C31" s="51">
        <v>2400</v>
      </c>
      <c r="D31" s="52">
        <f aca="true" t="shared" si="45" ref="D31:D36">PI()/2*0.526*POWER(0.171,2)*0.21*C31</f>
        <v>12.176665570990284</v>
      </c>
      <c r="E31" s="72">
        <f aca="true" t="shared" si="46" ref="E31:E36">(C31-755*SQRT((19.6+101.325)/101.325-1))*D31/C31</f>
        <v>10.491921961087852</v>
      </c>
      <c r="F31" s="52">
        <f aca="true" t="shared" si="47" ref="F31:F36">D31*19.6/98*1.634*1+0.8*POWER(C31/2000,2.3)</f>
        <v>5.19609971224165</v>
      </c>
      <c r="G31" s="59">
        <v>7.5</v>
      </c>
      <c r="H31" s="63">
        <f aca="true" t="shared" si="48" ref="H31:H36">(C31-755*SQRT((29.4+101.325)/101.325-1))*D31/C31</f>
        <v>10.11328447515253</v>
      </c>
      <c r="I31" s="52">
        <f aca="true" t="shared" si="49" ref="I31:I36">D31*29.4/98*1.634*1+0.8*POWER(C31/2000,2.3)</f>
        <v>7.185766866541462</v>
      </c>
      <c r="J31" s="51">
        <v>11</v>
      </c>
      <c r="K31" s="52">
        <f aca="true" t="shared" si="50" ref="K31:K36">(C31-755*SQRT((39.2+101.325)/101.325-1))*D31/C31</f>
        <v>9.794078308744862</v>
      </c>
      <c r="L31" s="52">
        <f aca="true" t="shared" si="51" ref="L31:L36">D31*39.2/98*1.634*1+0.8*POWER(C31/2000,2.3)</f>
        <v>9.175434020841275</v>
      </c>
      <c r="M31" s="51">
        <v>11</v>
      </c>
      <c r="N31" s="52">
        <f aca="true" t="shared" si="52" ref="N31:N36">(C31-755*SQRT((49+101.325)/101.325-1))*D31/C31</f>
        <v>9.51285203063734</v>
      </c>
      <c r="O31" s="63">
        <f aca="true" t="shared" si="53" ref="O31:O36">D31*49/98*1.634*1+0.8*POWER(C31/2000,2.3)</f>
        <v>11.16510117514109</v>
      </c>
      <c r="P31" s="51">
        <v>15</v>
      </c>
      <c r="Q31" s="52">
        <f aca="true" t="shared" si="54" ref="Q31:Q36">(C31-755*SQRT((58.8+101.325)/101.325-1))*D31/C31</f>
        <v>9.258604040912275</v>
      </c>
      <c r="R31" s="63">
        <f aca="true" t="shared" si="55" ref="R31:R36">D31*58.8/98*1.634*1+0.8*POWER(C31/2000,2.3)</f>
        <v>13.154768329440898</v>
      </c>
      <c r="S31" s="51">
        <v>18.5</v>
      </c>
      <c r="T31" s="52">
        <f aca="true" t="shared" si="56" ref="T31:T36">(C31-755*SQRT((68.6+101.325)/101.325-1))*D31/C31</f>
        <v>9.024798884584472</v>
      </c>
      <c r="U31" s="63">
        <f aca="true" t="shared" si="57" ref="U31:U36">D31*68.6/98*1.634*1+0.8*POWER(C31/2000,2.3)</f>
        <v>15.14443548374071</v>
      </c>
      <c r="V31" s="51">
        <v>18.5</v>
      </c>
      <c r="W31" s="52">
        <f aca="true" t="shared" si="58" ref="W31:W36">(C31-755*SQRT((78.4+101.325)/101.325-1))*D31/C31</f>
        <v>8.807178351185424</v>
      </c>
      <c r="X31" s="63">
        <f aca="true" t="shared" si="59" ref="X31:X36">D31*78.4/98*1.634*1+0.8*POWER(C31/2000,2.3)</f>
        <v>17.134102638040524</v>
      </c>
      <c r="Y31" s="51">
        <v>22</v>
      </c>
      <c r="Z31" s="52">
        <f aca="true" t="shared" si="60" ref="Z31:Z36">(C31-755*SQRT((88.2+101.325)/101.325-1))*D31/C31</f>
        <v>8.602784677622148</v>
      </c>
      <c r="AA31" s="63">
        <f aca="true" t="shared" si="61" ref="AA31:AA36">D31*88.2/98*1.634*1+0.8*POWER(C31/2000,2.3)</f>
        <v>19.123769792340333</v>
      </c>
      <c r="AB31" s="51">
        <v>22</v>
      </c>
      <c r="AC31" s="52">
        <f aca="true" t="shared" si="62" ref="AC31:AC36">(C31-755*SQRT((98+101.325)/101.325-1))*D31/C31</f>
        <v>8.409464334590062</v>
      </c>
      <c r="AD31" s="63">
        <f aca="true" t="shared" si="63" ref="AD31:AD36">D31*98/98*1.634*1+0.8*POWER(C31/2000,2.3)</f>
        <v>21.113436946640153</v>
      </c>
      <c r="AE31" s="51">
        <v>30</v>
      </c>
      <c r="AF31" s="62">
        <v>2</v>
      </c>
    </row>
    <row r="32" spans="1:32" ht="45" customHeight="1">
      <c r="A32" s="139"/>
      <c r="B32" s="51"/>
      <c r="C32" s="51">
        <v>2750</v>
      </c>
      <c r="D32" s="52">
        <f t="shared" si="45"/>
        <v>13.952429300093034</v>
      </c>
      <c r="E32" s="72">
        <f t="shared" si="46"/>
        <v>12.267685690190604</v>
      </c>
      <c r="F32" s="52">
        <f t="shared" si="47"/>
        <v>6.22377984463481</v>
      </c>
      <c r="G32" s="59">
        <v>7.5</v>
      </c>
      <c r="H32" s="63">
        <f t="shared" si="48"/>
        <v>11.88904820425528</v>
      </c>
      <c r="I32" s="52">
        <f t="shared" si="49"/>
        <v>8.50360679227001</v>
      </c>
      <c r="J32" s="51">
        <v>11</v>
      </c>
      <c r="K32" s="63">
        <f t="shared" si="50"/>
        <v>11.56984203784761</v>
      </c>
      <c r="L32" s="63">
        <f t="shared" si="51"/>
        <v>10.783433739905213</v>
      </c>
      <c r="M32" s="51">
        <v>15</v>
      </c>
      <c r="N32" s="63">
        <f t="shared" si="52"/>
        <v>11.288615759740091</v>
      </c>
      <c r="O32" s="63">
        <f t="shared" si="53"/>
        <v>13.063260687540414</v>
      </c>
      <c r="P32" s="51">
        <v>18.5</v>
      </c>
      <c r="Q32" s="63">
        <f t="shared" si="54"/>
        <v>11.034367770015026</v>
      </c>
      <c r="R32" s="63">
        <f t="shared" si="55"/>
        <v>15.343087635175614</v>
      </c>
      <c r="S32" s="51">
        <v>18.5</v>
      </c>
      <c r="T32" s="63">
        <f t="shared" si="56"/>
        <v>10.800562613687221</v>
      </c>
      <c r="U32" s="63">
        <f t="shared" si="57"/>
        <v>17.622914582810814</v>
      </c>
      <c r="V32" s="51">
        <v>22</v>
      </c>
      <c r="W32" s="63">
        <f t="shared" si="58"/>
        <v>10.582942080288174</v>
      </c>
      <c r="X32" s="63">
        <f t="shared" si="59"/>
        <v>19.902741530446022</v>
      </c>
      <c r="Y32" s="51">
        <v>30</v>
      </c>
      <c r="Z32" s="63">
        <f t="shared" si="60"/>
        <v>10.378548406724898</v>
      </c>
      <c r="AA32" s="63">
        <f t="shared" si="61"/>
        <v>22.182568478081215</v>
      </c>
      <c r="AB32" s="51">
        <v>30</v>
      </c>
      <c r="AC32" s="63">
        <f t="shared" si="62"/>
        <v>10.185228063692813</v>
      </c>
      <c r="AD32" s="63">
        <f t="shared" si="63"/>
        <v>24.46239542571642</v>
      </c>
      <c r="AE32" s="51">
        <v>30</v>
      </c>
      <c r="AF32" s="62">
        <v>2</v>
      </c>
    </row>
    <row r="33" spans="1:32" ht="45" customHeight="1">
      <c r="A33" s="139"/>
      <c r="B33" s="51">
        <v>100</v>
      </c>
      <c r="C33" s="51">
        <v>3100</v>
      </c>
      <c r="D33" s="52">
        <f t="shared" si="45"/>
        <v>15.728193029195783</v>
      </c>
      <c r="E33" s="72">
        <f t="shared" si="46"/>
        <v>14.043449419293351</v>
      </c>
      <c r="F33" s="52">
        <f t="shared" si="47"/>
        <v>7.33203578109223</v>
      </c>
      <c r="G33" s="59">
        <v>11</v>
      </c>
      <c r="H33" s="63">
        <f t="shared" si="48"/>
        <v>13.66481193335803</v>
      </c>
      <c r="I33" s="63">
        <f t="shared" si="49"/>
        <v>9.902022522062822</v>
      </c>
      <c r="J33" s="51">
        <v>15</v>
      </c>
      <c r="K33" s="63">
        <f t="shared" si="50"/>
        <v>13.34560576695036</v>
      </c>
      <c r="L33" s="63">
        <f t="shared" si="51"/>
        <v>12.472009263033412</v>
      </c>
      <c r="M33" s="51">
        <v>15</v>
      </c>
      <c r="N33" s="63">
        <f t="shared" si="52"/>
        <v>13.064379488842842</v>
      </c>
      <c r="O33" s="63">
        <f t="shared" si="53"/>
        <v>15.041996004004002</v>
      </c>
      <c r="P33" s="51">
        <v>18.5</v>
      </c>
      <c r="Q33" s="63">
        <f t="shared" si="54"/>
        <v>12.810131499117775</v>
      </c>
      <c r="R33" s="63">
        <f t="shared" si="55"/>
        <v>17.611982744974593</v>
      </c>
      <c r="S33" s="51">
        <v>22</v>
      </c>
      <c r="T33" s="63">
        <f t="shared" si="56"/>
        <v>12.57632634278997</v>
      </c>
      <c r="U33" s="63">
        <f t="shared" si="57"/>
        <v>20.18196948594518</v>
      </c>
      <c r="V33" s="51">
        <v>30</v>
      </c>
      <c r="W33" s="63">
        <f t="shared" si="58"/>
        <v>12.358705809390923</v>
      </c>
      <c r="X33" s="63">
        <f t="shared" si="59"/>
        <v>22.751956226915773</v>
      </c>
      <c r="Y33" s="51">
        <v>30</v>
      </c>
      <c r="Z33" s="63">
        <f t="shared" si="60"/>
        <v>12.154312135827647</v>
      </c>
      <c r="AA33" s="63">
        <f t="shared" si="61"/>
        <v>25.321942967886372</v>
      </c>
      <c r="AB33" s="51">
        <v>30</v>
      </c>
      <c r="AC33" s="63">
        <f t="shared" si="62"/>
        <v>11.960991792795562</v>
      </c>
      <c r="AD33" s="63">
        <f t="shared" si="63"/>
        <v>27.891929708856956</v>
      </c>
      <c r="AE33" s="51">
        <v>37</v>
      </c>
      <c r="AF33" s="62">
        <v>2</v>
      </c>
    </row>
    <row r="34" spans="1:32" ht="45" customHeight="1">
      <c r="A34" s="139"/>
      <c r="B34" s="51"/>
      <c r="C34" s="51">
        <v>3500</v>
      </c>
      <c r="D34" s="52">
        <f t="shared" si="45"/>
        <v>17.757637291027496</v>
      </c>
      <c r="E34" s="72">
        <f t="shared" si="46"/>
        <v>16.072893681125066</v>
      </c>
      <c r="F34" s="52">
        <f t="shared" si="47"/>
        <v>8.701056525636139</v>
      </c>
      <c r="G34" s="59">
        <v>11</v>
      </c>
      <c r="H34" s="63">
        <f t="shared" si="48"/>
        <v>15.694256195189743</v>
      </c>
      <c r="I34" s="63">
        <f t="shared" si="49"/>
        <v>11.602654458990031</v>
      </c>
      <c r="J34" s="51">
        <v>15</v>
      </c>
      <c r="K34" s="63">
        <f t="shared" si="50"/>
        <v>15.375050028782073</v>
      </c>
      <c r="L34" s="63">
        <f t="shared" si="51"/>
        <v>14.504252392343925</v>
      </c>
      <c r="M34" s="51">
        <v>18.5</v>
      </c>
      <c r="N34" s="63">
        <f t="shared" si="52"/>
        <v>15.093823750674554</v>
      </c>
      <c r="O34" s="63">
        <f t="shared" si="53"/>
        <v>17.405850325697816</v>
      </c>
      <c r="P34" s="51">
        <v>22</v>
      </c>
      <c r="Q34" s="63">
        <f t="shared" si="54"/>
        <v>14.839575760949488</v>
      </c>
      <c r="R34" s="63">
        <f t="shared" si="55"/>
        <v>20.307448259051707</v>
      </c>
      <c r="S34" s="51">
        <v>30</v>
      </c>
      <c r="T34" s="63">
        <f t="shared" si="56"/>
        <v>14.605770604621684</v>
      </c>
      <c r="U34" s="63">
        <f t="shared" si="57"/>
        <v>23.209046192405598</v>
      </c>
      <c r="V34" s="51">
        <v>30</v>
      </c>
      <c r="W34" s="63">
        <f t="shared" si="58"/>
        <v>14.388150071222636</v>
      </c>
      <c r="X34" s="63">
        <f t="shared" si="59"/>
        <v>26.110644125759496</v>
      </c>
      <c r="Y34" s="51">
        <v>30</v>
      </c>
      <c r="Z34" s="63">
        <f t="shared" si="60"/>
        <v>14.18375639765936</v>
      </c>
      <c r="AA34" s="63">
        <f t="shared" si="61"/>
        <v>29.012242059113387</v>
      </c>
      <c r="AB34" s="51">
        <v>37</v>
      </c>
      <c r="AC34" s="63">
        <f t="shared" si="62"/>
        <v>13.990436054627276</v>
      </c>
      <c r="AD34" s="63">
        <f t="shared" si="63"/>
        <v>31.913839992467278</v>
      </c>
      <c r="AE34" s="51">
        <v>37</v>
      </c>
      <c r="AF34" s="62">
        <v>2</v>
      </c>
    </row>
    <row r="35" spans="1:32" ht="45" customHeight="1">
      <c r="A35" s="139"/>
      <c r="B35" s="51"/>
      <c r="C35" s="51">
        <v>3900</v>
      </c>
      <c r="D35" s="52">
        <f t="shared" si="45"/>
        <v>19.78708155285921</v>
      </c>
      <c r="E35" s="72">
        <f t="shared" si="46"/>
        <v>18.10233794295678</v>
      </c>
      <c r="F35" s="52">
        <f t="shared" si="47"/>
        <v>10.183221680505667</v>
      </c>
      <c r="G35" s="59">
        <v>15</v>
      </c>
      <c r="H35" s="63">
        <f t="shared" si="48"/>
        <v>17.723700457021454</v>
      </c>
      <c r="I35" s="63">
        <f t="shared" si="49"/>
        <v>13.416430806242863</v>
      </c>
      <c r="J35" s="51">
        <v>18.5</v>
      </c>
      <c r="K35" s="63">
        <f t="shared" si="50"/>
        <v>17.404494290613787</v>
      </c>
      <c r="L35" s="63">
        <f t="shared" si="51"/>
        <v>16.649639931980055</v>
      </c>
      <c r="M35" s="51">
        <v>22</v>
      </c>
      <c r="N35" s="63">
        <f t="shared" si="52"/>
        <v>17.12326801250627</v>
      </c>
      <c r="O35" s="63">
        <f t="shared" si="53"/>
        <v>19.88284905771725</v>
      </c>
      <c r="P35" s="51">
        <v>30</v>
      </c>
      <c r="Q35" s="63">
        <f t="shared" si="54"/>
        <v>16.869020022781203</v>
      </c>
      <c r="R35" s="63">
        <f t="shared" si="55"/>
        <v>23.11605818345445</v>
      </c>
      <c r="S35" s="51">
        <v>30</v>
      </c>
      <c r="T35" s="63">
        <f t="shared" si="56"/>
        <v>16.6352148664534</v>
      </c>
      <c r="U35" s="63">
        <f t="shared" si="57"/>
        <v>26.34926730919164</v>
      </c>
      <c r="V35" s="51">
        <v>30</v>
      </c>
      <c r="W35" s="63">
        <f t="shared" si="58"/>
        <v>16.41759433305435</v>
      </c>
      <c r="X35" s="63">
        <f t="shared" si="59"/>
        <v>29.582476434928836</v>
      </c>
      <c r="Y35" s="51">
        <v>37</v>
      </c>
      <c r="Z35" s="63">
        <f t="shared" si="60"/>
        <v>16.213200659491072</v>
      </c>
      <c r="AA35" s="63">
        <f t="shared" si="61"/>
        <v>32.815685560666026</v>
      </c>
      <c r="AB35" s="51">
        <v>37</v>
      </c>
      <c r="AC35" s="63">
        <f t="shared" si="62"/>
        <v>16.019880316458988</v>
      </c>
      <c r="AD35" s="63">
        <f t="shared" si="63"/>
        <v>36.04889468640323</v>
      </c>
      <c r="AE35" s="51">
        <v>45</v>
      </c>
      <c r="AF35" s="62">
        <v>2</v>
      </c>
    </row>
    <row r="36" spans="1:32" ht="45" customHeight="1" thickBot="1">
      <c r="A36" s="152"/>
      <c r="B36" s="47"/>
      <c r="C36" s="47">
        <v>4200</v>
      </c>
      <c r="D36" s="94">
        <f t="shared" si="45"/>
        <v>21.309164749233</v>
      </c>
      <c r="E36" s="95">
        <f t="shared" si="46"/>
        <v>19.62442113933057</v>
      </c>
      <c r="F36" s="94">
        <f t="shared" si="47"/>
        <v>11.371355782998473</v>
      </c>
      <c r="G36" s="97">
        <v>15</v>
      </c>
      <c r="H36" s="96">
        <f t="shared" si="48"/>
        <v>19.245783653395243</v>
      </c>
      <c r="I36" s="96">
        <f t="shared" si="49"/>
        <v>14.853273303023144</v>
      </c>
      <c r="J36" s="47">
        <v>18.5</v>
      </c>
      <c r="K36" s="96">
        <f t="shared" si="50"/>
        <v>18.926577486987576</v>
      </c>
      <c r="L36" s="96">
        <f t="shared" si="51"/>
        <v>18.335190823047817</v>
      </c>
      <c r="M36" s="47">
        <v>22</v>
      </c>
      <c r="N36" s="96">
        <f t="shared" si="52"/>
        <v>18.645351208880058</v>
      </c>
      <c r="O36" s="96">
        <f t="shared" si="53"/>
        <v>21.817108343072487</v>
      </c>
      <c r="P36" s="47">
        <v>30</v>
      </c>
      <c r="Q36" s="96">
        <f t="shared" si="54"/>
        <v>18.39110321915499</v>
      </c>
      <c r="R36" s="96">
        <f t="shared" si="55"/>
        <v>25.299025863097157</v>
      </c>
      <c r="S36" s="47">
        <v>30</v>
      </c>
      <c r="T36" s="96">
        <f t="shared" si="56"/>
        <v>18.157298062827188</v>
      </c>
      <c r="U36" s="96">
        <f t="shared" si="57"/>
        <v>28.780943383121826</v>
      </c>
      <c r="V36" s="47">
        <v>37</v>
      </c>
      <c r="W36" s="96">
        <f t="shared" si="58"/>
        <v>17.93967752942814</v>
      </c>
      <c r="X36" s="96">
        <f t="shared" si="59"/>
        <v>32.2628609031465</v>
      </c>
      <c r="Y36" s="47">
        <v>37</v>
      </c>
      <c r="Z36" s="96">
        <f t="shared" si="60"/>
        <v>17.73528385586486</v>
      </c>
      <c r="AA36" s="96">
        <f t="shared" si="61"/>
        <v>35.74477842317118</v>
      </c>
      <c r="AB36" s="47">
        <v>45</v>
      </c>
      <c r="AC36" s="96">
        <f t="shared" si="62"/>
        <v>17.541963512832776</v>
      </c>
      <c r="AD36" s="96">
        <f t="shared" si="63"/>
        <v>39.22669594319585</v>
      </c>
      <c r="AE36" s="47">
        <v>45</v>
      </c>
      <c r="AF36" s="99">
        <v>2</v>
      </c>
    </row>
    <row r="37" spans="1:32" ht="90" customHeight="1">
      <c r="A37" s="85"/>
      <c r="B37" s="85"/>
      <c r="C37" s="85"/>
      <c r="D37" s="82"/>
      <c r="E37" s="82"/>
      <c r="F37" s="82"/>
      <c r="G37" s="82"/>
      <c r="H37" s="83"/>
      <c r="I37" s="84"/>
      <c r="J37" s="85"/>
      <c r="K37" s="84"/>
      <c r="L37" s="84"/>
      <c r="M37" s="85"/>
      <c r="N37" s="84"/>
      <c r="O37" s="84"/>
      <c r="P37" s="85"/>
      <c r="Q37" s="84"/>
      <c r="R37" s="84"/>
      <c r="S37" s="85"/>
      <c r="T37" s="84"/>
      <c r="U37" s="84"/>
      <c r="V37" s="85"/>
      <c r="W37" s="84"/>
      <c r="X37" s="84"/>
      <c r="Y37" s="85"/>
      <c r="Z37" s="84"/>
      <c r="AA37" s="84"/>
      <c r="AB37" s="85"/>
      <c r="AC37" s="84"/>
      <c r="AD37" s="84"/>
      <c r="AE37" s="85"/>
      <c r="AF37" s="85"/>
    </row>
    <row r="38" spans="1:32" ht="96.75" customHeight="1" thickBot="1">
      <c r="A38" s="135" t="s">
        <v>101</v>
      </c>
      <c r="B38" s="136"/>
      <c r="C38" s="129"/>
      <c r="D38" s="129"/>
      <c r="E38" s="129"/>
      <c r="F38" s="129"/>
      <c r="G38" s="129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1:32" ht="45" customHeight="1">
      <c r="A39" s="150" t="s">
        <v>10</v>
      </c>
      <c r="B39" s="161" t="s">
        <v>24</v>
      </c>
      <c r="C39" s="119" t="s">
        <v>34</v>
      </c>
      <c r="D39" s="120" t="s">
        <v>35</v>
      </c>
      <c r="E39" s="153" t="s">
        <v>66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5"/>
      <c r="AF39" s="48" t="s">
        <v>36</v>
      </c>
    </row>
    <row r="40" spans="1:32" ht="45" customHeight="1">
      <c r="A40" s="139"/>
      <c r="B40" s="162"/>
      <c r="C40" s="49" t="s">
        <v>11</v>
      </c>
      <c r="D40" s="123" t="s">
        <v>106</v>
      </c>
      <c r="E40" s="156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8"/>
      <c r="AF40" s="50" t="s">
        <v>37</v>
      </c>
    </row>
    <row r="41" spans="1:32" ht="45" customHeight="1">
      <c r="A41" s="139" t="s">
        <v>9</v>
      </c>
      <c r="B41" s="51" t="s">
        <v>29</v>
      </c>
      <c r="C41" s="51" t="s">
        <v>13</v>
      </c>
      <c r="D41" s="52" t="s">
        <v>26</v>
      </c>
      <c r="E41" s="137" t="s">
        <v>38</v>
      </c>
      <c r="F41" s="138"/>
      <c r="G41" s="138"/>
      <c r="H41" s="137" t="s">
        <v>1</v>
      </c>
      <c r="I41" s="138"/>
      <c r="J41" s="138"/>
      <c r="K41" s="137" t="s">
        <v>2</v>
      </c>
      <c r="L41" s="138"/>
      <c r="M41" s="138"/>
      <c r="N41" s="137" t="s">
        <v>3</v>
      </c>
      <c r="O41" s="138"/>
      <c r="P41" s="138"/>
      <c r="Q41" s="137" t="s">
        <v>4</v>
      </c>
      <c r="R41" s="138"/>
      <c r="S41" s="138"/>
      <c r="T41" s="137" t="s">
        <v>5</v>
      </c>
      <c r="U41" s="138"/>
      <c r="V41" s="138"/>
      <c r="W41" s="137" t="s">
        <v>6</v>
      </c>
      <c r="X41" s="138"/>
      <c r="Y41" s="138"/>
      <c r="Z41" s="137" t="s">
        <v>7</v>
      </c>
      <c r="AA41" s="138"/>
      <c r="AB41" s="138"/>
      <c r="AC41" s="137" t="s">
        <v>8</v>
      </c>
      <c r="AD41" s="138"/>
      <c r="AE41" s="149"/>
      <c r="AF41" s="131" t="s">
        <v>27</v>
      </c>
    </row>
    <row r="42" spans="1:63" ht="45" customHeight="1">
      <c r="A42" s="140"/>
      <c r="B42" s="53" t="s">
        <v>25</v>
      </c>
      <c r="C42" s="53" t="s">
        <v>14</v>
      </c>
      <c r="D42" s="54" t="s">
        <v>0</v>
      </c>
      <c r="E42" s="86" t="s">
        <v>63</v>
      </c>
      <c r="F42" s="87" t="s">
        <v>64</v>
      </c>
      <c r="G42" s="88" t="s">
        <v>65</v>
      </c>
      <c r="H42" s="86" t="s">
        <v>63</v>
      </c>
      <c r="I42" s="87" t="s">
        <v>64</v>
      </c>
      <c r="J42" s="88" t="s">
        <v>65</v>
      </c>
      <c r="K42" s="86" t="s">
        <v>63</v>
      </c>
      <c r="L42" s="87" t="s">
        <v>64</v>
      </c>
      <c r="M42" s="88" t="s">
        <v>65</v>
      </c>
      <c r="N42" s="86" t="s">
        <v>63</v>
      </c>
      <c r="O42" s="87" t="s">
        <v>64</v>
      </c>
      <c r="P42" s="88" t="s">
        <v>65</v>
      </c>
      <c r="Q42" s="86" t="s">
        <v>63</v>
      </c>
      <c r="R42" s="87" t="s">
        <v>64</v>
      </c>
      <c r="S42" s="88" t="s">
        <v>65</v>
      </c>
      <c r="T42" s="86" t="s">
        <v>63</v>
      </c>
      <c r="U42" s="87" t="s">
        <v>64</v>
      </c>
      <c r="V42" s="88" t="s">
        <v>65</v>
      </c>
      <c r="W42" s="86" t="s">
        <v>63</v>
      </c>
      <c r="X42" s="87" t="s">
        <v>64</v>
      </c>
      <c r="Y42" s="88" t="s">
        <v>65</v>
      </c>
      <c r="Z42" s="86" t="s">
        <v>63</v>
      </c>
      <c r="AA42" s="87" t="s">
        <v>64</v>
      </c>
      <c r="AB42" s="88" t="s">
        <v>65</v>
      </c>
      <c r="AC42" s="86" t="s">
        <v>63</v>
      </c>
      <c r="AD42" s="87" t="s">
        <v>64</v>
      </c>
      <c r="AE42" s="88" t="s">
        <v>65</v>
      </c>
      <c r="AF42" s="131"/>
      <c r="AH42" s="24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</row>
    <row r="43" spans="1:32" ht="45" customHeight="1">
      <c r="A43" s="141" t="s">
        <v>30</v>
      </c>
      <c r="B43" s="68"/>
      <c r="C43" s="68">
        <v>2000</v>
      </c>
      <c r="D43" s="76">
        <f>PI()/2*0.526*POWER(0.171,2)*0.29*C43</f>
        <v>14.012829426933264</v>
      </c>
      <c r="E43" s="111">
        <f>(C43-658*SQRT((19.6+101.325)/101.325-1))*D43/C43</f>
        <v>11.985186565743849</v>
      </c>
      <c r="F43" s="60">
        <f>D43*19.6/98*1.634*1+1*POWER(C43/2000,2.3)</f>
        <v>5.57939265672179</v>
      </c>
      <c r="G43" s="70">
        <v>7.5</v>
      </c>
      <c r="H43" s="111">
        <f>(C43-658*SQRT((29.4+101.325)/101.325-1))*D43/C43</f>
        <v>11.529484231677761</v>
      </c>
      <c r="I43" s="60">
        <f>D43*29.4/98*1.634*1+1*POWER(C43/2000,2.3)</f>
        <v>7.869088985082684</v>
      </c>
      <c r="J43" s="68">
        <v>11</v>
      </c>
      <c r="K43" s="71">
        <f>(C43-658*SQRT((39.2+101.325)/101.325-1))*D43/C43</f>
        <v>11.145309392990207</v>
      </c>
      <c r="L43" s="71">
        <f>D43*39.2/98*1.634*1+1*POWER(C43/2000,2.3)</f>
        <v>10.15878531344358</v>
      </c>
      <c r="M43" s="68">
        <v>15</v>
      </c>
      <c r="N43" s="71">
        <f>(C43-658*SQRT((49+101.325)/101.325-1))*D43/C43</f>
        <v>10.806844565563674</v>
      </c>
      <c r="O43" s="71">
        <f>D43*49/98*1.634*1+1*POWER(C43/2000,2.3)</f>
        <v>12.448481641804475</v>
      </c>
      <c r="P43" s="68">
        <v>15</v>
      </c>
      <c r="Q43" s="71">
        <f>(C43-658*SQRT((58.8+101.325)/101.325-1))*D43/C43</f>
        <v>10.500848971748868</v>
      </c>
      <c r="R43" s="71">
        <f>D43*58.8/98*1.634*1+1*POWER(C43/2000,2.3)</f>
        <v>14.738177970165369</v>
      </c>
      <c r="S43" s="68">
        <v>18.5</v>
      </c>
      <c r="T43" s="71">
        <f>(C43-658*SQRT((68.6+101.325)/101.325-1))*D43/C43</f>
        <v>10.219456982278853</v>
      </c>
      <c r="U43" s="71">
        <f>D43*68.6/98*1.634*1+1*POWER(C43/2000,2.3)</f>
        <v>17.027874298526264</v>
      </c>
      <c r="V43" s="68">
        <v>22</v>
      </c>
      <c r="W43" s="60">
        <f>(C43-658*SQRT((78.4+101.325)/101.325-1))*D43/C43</f>
        <v>9.957543704554434</v>
      </c>
      <c r="X43" s="71">
        <f>D43*78.4/98*1.634*1+1*POWER(C43/2000,2.3)</f>
        <v>19.31757062688716</v>
      </c>
      <c r="Y43" s="68">
        <v>22</v>
      </c>
      <c r="Z43" s="60">
        <f>(C43-658*SQRT((88.2+101.325)/101.325-1))*D43/C43</f>
        <v>9.711549376018679</v>
      </c>
      <c r="AA43" s="71">
        <f>D43*88.2/98*1.634*1+1*POWER(C43/2000,2.3)</f>
        <v>21.607266955248058</v>
      </c>
      <c r="AB43" s="68">
        <v>30</v>
      </c>
      <c r="AC43" s="60"/>
      <c r="AD43" s="71"/>
      <c r="AE43" s="68"/>
      <c r="AF43" s="91">
        <v>2</v>
      </c>
    </row>
    <row r="44" spans="1:32" ht="45" customHeight="1">
      <c r="A44" s="139"/>
      <c r="B44" s="51"/>
      <c r="C44" s="51">
        <v>2400</v>
      </c>
      <c r="D44" s="77">
        <f aca="true" t="shared" si="64" ref="D44:D49">PI()/2*0.526*POWER(0.171,2)*0.29*C44</f>
        <v>16.815395312319918</v>
      </c>
      <c r="E44" s="72">
        <f aca="true" t="shared" si="65" ref="E44:E49">(C44-658*SQRT((19.6+101.325)/101.325-1))*D44/C44</f>
        <v>14.787752451130503</v>
      </c>
      <c r="F44" s="52">
        <f aca="true" t="shared" si="66" ref="F44:F49">D44*19.6/98*1.634*1+1*POWER(C44/2000,2.3)</f>
        <v>7.016227942618681</v>
      </c>
      <c r="G44" s="59">
        <v>11</v>
      </c>
      <c r="H44" s="72">
        <f aca="true" t="shared" si="67" ref="H44:H49">(C44-658*SQRT((29.4+101.325)/101.325-1))*D44/C44</f>
        <v>14.332050117064416</v>
      </c>
      <c r="I44" s="52">
        <f aca="true" t="shared" si="68" ref="I44:I49">D44*29.4/98*1.634*1+1*POWER(C44/2000,2.3)</f>
        <v>9.763863536651755</v>
      </c>
      <c r="J44" s="51">
        <v>11</v>
      </c>
      <c r="K44" s="63">
        <f aca="true" t="shared" si="69" ref="K44:K49">(C44-658*SQRT((39.2+101.325)/101.325-1))*D44/C44</f>
        <v>13.94787527837686</v>
      </c>
      <c r="L44" s="63">
        <f aca="true" t="shared" si="70" ref="L44:L49">D44*39.2/98*1.634*1+1*POWER(C44/2000,2.3)</f>
        <v>12.511499130684829</v>
      </c>
      <c r="M44" s="51">
        <v>15</v>
      </c>
      <c r="N44" s="63">
        <f aca="true" t="shared" si="71" ref="N44:N49">(C44-658*SQRT((49+101.325)/101.325-1))*D44/C44</f>
        <v>13.609410450950326</v>
      </c>
      <c r="O44" s="63">
        <f aca="true" t="shared" si="72" ref="O44:O49">D44*49/98*1.634*1+1*POWER(C44/2000,2.3)</f>
        <v>15.259134724717903</v>
      </c>
      <c r="P44" s="51">
        <v>18.5</v>
      </c>
      <c r="Q44" s="63">
        <f aca="true" t="shared" si="73" ref="Q44:Q49">(C44-658*SQRT((58.8+101.325)/101.325-1))*D44/C44</f>
        <v>13.303414857135522</v>
      </c>
      <c r="R44" s="63">
        <f aca="true" t="shared" si="74" ref="R44:R49">D44*58.8/98*1.634*1+1*POWER(C44/2000,2.3)</f>
        <v>18.00677031875098</v>
      </c>
      <c r="S44" s="51">
        <v>22</v>
      </c>
      <c r="T44" s="63">
        <f aca="true" t="shared" si="75" ref="T44:T49">(C44-658*SQRT((68.6+101.325)/101.325-1))*D44/C44</f>
        <v>13.022022867665505</v>
      </c>
      <c r="U44" s="63">
        <f aca="true" t="shared" si="76" ref="U44:U49">D44*68.6/98*1.634*1+1*POWER(C44/2000,2.3)</f>
        <v>20.75440591278405</v>
      </c>
      <c r="V44" s="51">
        <v>30</v>
      </c>
      <c r="W44" s="63">
        <f aca="true" t="shared" si="77" ref="W44:W49">(C44-658*SQRT((78.4+101.325)/101.325-1))*D44/C44</f>
        <v>12.760109589941088</v>
      </c>
      <c r="X44" s="63">
        <f aca="true" t="shared" si="78" ref="X44:X49">D44*78.4/98*1.634*1+1*POWER(C44/2000,2.3)</f>
        <v>23.50204150681713</v>
      </c>
      <c r="Y44" s="51">
        <v>30</v>
      </c>
      <c r="Z44" s="63">
        <f aca="true" t="shared" si="79" ref="Z44:Z49">(C44-658*SQRT((88.2+101.325)/101.325-1))*D44/C44</f>
        <v>12.514115261405331</v>
      </c>
      <c r="AA44" s="63">
        <f aca="true" t="shared" si="80" ref="AA44:AA49">D44*88.2/98*1.634*1+1*POWER(C44/2000,2.3)</f>
        <v>26.249677100850203</v>
      </c>
      <c r="AB44" s="51">
        <v>30</v>
      </c>
      <c r="AC44" s="63">
        <f>(C44-658*SQRT((98+101.325)/101.325-1))*D44/C44</f>
        <v>12.281448040608216</v>
      </c>
      <c r="AD44" s="63">
        <f>D44*98/98*1.634*1+1*POWER(C44/2000,2.3)</f>
        <v>28.997312694883277</v>
      </c>
      <c r="AE44" s="51">
        <v>37</v>
      </c>
      <c r="AF44" s="78">
        <v>2</v>
      </c>
    </row>
    <row r="45" spans="1:32" ht="45" customHeight="1">
      <c r="A45" s="139"/>
      <c r="B45" s="51"/>
      <c r="C45" s="51">
        <v>2750</v>
      </c>
      <c r="D45" s="77">
        <f t="shared" si="64"/>
        <v>19.26764046203324</v>
      </c>
      <c r="E45" s="72">
        <f t="shared" si="65"/>
        <v>17.23999760084382</v>
      </c>
      <c r="F45" s="52">
        <f t="shared" si="66"/>
        <v>8.376822339697968</v>
      </c>
      <c r="G45" s="59">
        <v>11</v>
      </c>
      <c r="H45" s="72">
        <f t="shared" si="67"/>
        <v>16.784295266777733</v>
      </c>
      <c r="I45" s="63">
        <f t="shared" si="68"/>
        <v>11.5251547911942</v>
      </c>
      <c r="J45" s="51">
        <v>15</v>
      </c>
      <c r="K45" s="63">
        <f t="shared" si="69"/>
        <v>16.400120428090183</v>
      </c>
      <c r="L45" s="63">
        <f t="shared" si="70"/>
        <v>14.673487242690431</v>
      </c>
      <c r="M45" s="51">
        <v>18.5</v>
      </c>
      <c r="N45" s="63">
        <f t="shared" si="71"/>
        <v>16.06165560066365</v>
      </c>
      <c r="O45" s="63">
        <f t="shared" si="72"/>
        <v>17.82181969418666</v>
      </c>
      <c r="P45" s="51">
        <v>22</v>
      </c>
      <c r="Q45" s="63">
        <f t="shared" si="73"/>
        <v>15.75566000684884</v>
      </c>
      <c r="R45" s="63">
        <f t="shared" si="74"/>
        <v>20.970152145682892</v>
      </c>
      <c r="S45" s="51">
        <v>30</v>
      </c>
      <c r="T45" s="63">
        <f t="shared" si="75"/>
        <v>15.474268017378824</v>
      </c>
      <c r="U45" s="63">
        <f t="shared" si="76"/>
        <v>24.11848459717912</v>
      </c>
      <c r="V45" s="51">
        <v>30</v>
      </c>
      <c r="W45" s="63">
        <f t="shared" si="77"/>
        <v>15.212354739654407</v>
      </c>
      <c r="X45" s="63">
        <f t="shared" si="78"/>
        <v>27.266817048675353</v>
      </c>
      <c r="Y45" s="51">
        <v>37</v>
      </c>
      <c r="Z45" s="63">
        <f t="shared" si="79"/>
        <v>14.96636041111865</v>
      </c>
      <c r="AA45" s="63">
        <f t="shared" si="80"/>
        <v>30.415149500171584</v>
      </c>
      <c r="AB45" s="51">
        <v>37</v>
      </c>
      <c r="AC45" s="63">
        <f>(C45-658*SQRT((98+101.325)/101.325-1))*D45/C45</f>
        <v>14.733693190321539</v>
      </c>
      <c r="AD45" s="63">
        <f>D45*98/98*1.634*1+1*POWER(C45/2000,2.3)</f>
        <v>33.56348195166782</v>
      </c>
      <c r="AE45" s="51">
        <v>45</v>
      </c>
      <c r="AF45" s="78">
        <v>2</v>
      </c>
    </row>
    <row r="46" spans="1:32" ht="45" customHeight="1">
      <c r="A46" s="139"/>
      <c r="B46" s="51">
        <v>150</v>
      </c>
      <c r="C46" s="51">
        <v>3100</v>
      </c>
      <c r="D46" s="77">
        <f t="shared" si="64"/>
        <v>21.71988561174656</v>
      </c>
      <c r="E46" s="72">
        <f t="shared" si="65"/>
        <v>19.692242750557142</v>
      </c>
      <c r="F46" s="52">
        <f t="shared" si="66"/>
        <v>9.838136491857586</v>
      </c>
      <c r="G46" s="59">
        <v>15</v>
      </c>
      <c r="H46" s="72">
        <f t="shared" si="67"/>
        <v>19.236540416491057</v>
      </c>
      <c r="I46" s="63">
        <f t="shared" si="68"/>
        <v>13.387165800816971</v>
      </c>
      <c r="J46" s="51">
        <v>18.5</v>
      </c>
      <c r="K46" s="63">
        <f t="shared" si="69"/>
        <v>18.8523655778035</v>
      </c>
      <c r="L46" s="63">
        <f t="shared" si="70"/>
        <v>16.93619510977636</v>
      </c>
      <c r="M46" s="51">
        <v>22</v>
      </c>
      <c r="N46" s="63">
        <f t="shared" si="71"/>
        <v>18.51390075037697</v>
      </c>
      <c r="O46" s="63">
        <f t="shared" si="72"/>
        <v>20.48522441873575</v>
      </c>
      <c r="P46" s="51">
        <v>30</v>
      </c>
      <c r="Q46" s="63">
        <f t="shared" si="73"/>
        <v>18.207905156562163</v>
      </c>
      <c r="R46" s="63">
        <f t="shared" si="74"/>
        <v>24.034253727695134</v>
      </c>
      <c r="S46" s="51">
        <v>30</v>
      </c>
      <c r="T46" s="63">
        <f t="shared" si="75"/>
        <v>17.926513167092143</v>
      </c>
      <c r="U46" s="63">
        <f t="shared" si="76"/>
        <v>27.58328303665452</v>
      </c>
      <c r="V46" s="51">
        <v>37</v>
      </c>
      <c r="W46" s="63">
        <f t="shared" si="77"/>
        <v>17.66459988936773</v>
      </c>
      <c r="X46" s="63">
        <f t="shared" si="78"/>
        <v>31.13231234561391</v>
      </c>
      <c r="Y46" s="51">
        <v>37</v>
      </c>
      <c r="Z46" s="63">
        <f t="shared" si="79"/>
        <v>17.41860556083197</v>
      </c>
      <c r="AA46" s="63">
        <f t="shared" si="80"/>
        <v>34.681341654573295</v>
      </c>
      <c r="AB46" s="51">
        <v>45</v>
      </c>
      <c r="AC46" s="63">
        <f>(C46-658*SQRT((98+101.325)/101.325-1))*D46/C46</f>
        <v>17.185938340034856</v>
      </c>
      <c r="AD46" s="63">
        <f>D46*98/98*1.634*1+1*POWER(C46/2000,2.3)</f>
        <v>38.230370963532685</v>
      </c>
      <c r="AE46" s="51">
        <v>45</v>
      </c>
      <c r="AF46" s="78">
        <v>2</v>
      </c>
    </row>
    <row r="47" spans="1:32" ht="45" customHeight="1">
      <c r="A47" s="139"/>
      <c r="B47" s="51"/>
      <c r="C47" s="51">
        <v>3500</v>
      </c>
      <c r="D47" s="77">
        <f t="shared" si="64"/>
        <v>24.52245149713321</v>
      </c>
      <c r="E47" s="72">
        <f t="shared" si="65"/>
        <v>22.494808635943794</v>
      </c>
      <c r="F47" s="63">
        <f t="shared" si="66"/>
        <v>11.636262972923575</v>
      </c>
      <c r="G47" s="59">
        <v>15</v>
      </c>
      <c r="H47" s="72">
        <f t="shared" si="67"/>
        <v>22.039106301877705</v>
      </c>
      <c r="I47" s="63">
        <f t="shared" si="68"/>
        <v>15.643231547555141</v>
      </c>
      <c r="J47" s="51">
        <v>18.5</v>
      </c>
      <c r="K47" s="63">
        <f t="shared" si="69"/>
        <v>21.654931463190156</v>
      </c>
      <c r="L47" s="63">
        <f t="shared" si="70"/>
        <v>19.650200122186707</v>
      </c>
      <c r="M47" s="51">
        <v>30</v>
      </c>
      <c r="N47" s="63">
        <f t="shared" si="71"/>
        <v>21.31646663576362</v>
      </c>
      <c r="O47" s="63">
        <f t="shared" si="72"/>
        <v>23.65716869681827</v>
      </c>
      <c r="P47" s="51">
        <v>30</v>
      </c>
      <c r="Q47" s="63">
        <f t="shared" si="73"/>
        <v>21.01047104194882</v>
      </c>
      <c r="R47" s="63">
        <f t="shared" si="74"/>
        <v>27.66413727144984</v>
      </c>
      <c r="S47" s="51">
        <v>37</v>
      </c>
      <c r="T47" s="63">
        <f t="shared" si="75"/>
        <v>20.7290790524788</v>
      </c>
      <c r="U47" s="63">
        <f t="shared" si="76"/>
        <v>31.671105846081403</v>
      </c>
      <c r="V47" s="51">
        <v>37</v>
      </c>
      <c r="W47" s="63">
        <f t="shared" si="77"/>
        <v>20.46716577475438</v>
      </c>
      <c r="X47" s="63">
        <f t="shared" si="78"/>
        <v>35.678074420712974</v>
      </c>
      <c r="Y47" s="51">
        <v>45</v>
      </c>
      <c r="Z47" s="63">
        <f t="shared" si="79"/>
        <v>20.221171446218626</v>
      </c>
      <c r="AA47" s="63">
        <f t="shared" si="80"/>
        <v>39.68504299534454</v>
      </c>
      <c r="AB47" s="51">
        <v>45</v>
      </c>
      <c r="AC47" s="63">
        <f>(C47-658*SQRT((98+101.325)/101.325-1))*D47/C47</f>
        <v>19.98850422542151</v>
      </c>
      <c r="AD47" s="63">
        <f>D47*98/98*1.634*1+1*POWER(C47/2000,2.3)</f>
        <v>43.6920115699761</v>
      </c>
      <c r="AE47" s="51">
        <v>55</v>
      </c>
      <c r="AF47" s="78">
        <v>2</v>
      </c>
    </row>
    <row r="48" spans="1:32" ht="45" customHeight="1">
      <c r="A48" s="139"/>
      <c r="B48" s="51"/>
      <c r="C48" s="51">
        <v>3900</v>
      </c>
      <c r="D48" s="77">
        <f t="shared" si="64"/>
        <v>27.325017382519864</v>
      </c>
      <c r="E48" s="72">
        <f t="shared" si="65"/>
        <v>25.29737452133045</v>
      </c>
      <c r="F48" s="63">
        <f t="shared" si="66"/>
        <v>13.575819966896589</v>
      </c>
      <c r="G48" s="59">
        <v>18.5</v>
      </c>
      <c r="H48" s="72">
        <f t="shared" si="67"/>
        <v>24.841672187264358</v>
      </c>
      <c r="I48" s="63">
        <f t="shared" si="68"/>
        <v>18.040727807200334</v>
      </c>
      <c r="J48" s="51">
        <v>22</v>
      </c>
      <c r="K48" s="63">
        <f t="shared" si="69"/>
        <v>24.45749734857681</v>
      </c>
      <c r="L48" s="63">
        <f t="shared" si="70"/>
        <v>22.505635647504082</v>
      </c>
      <c r="M48" s="51">
        <v>30</v>
      </c>
      <c r="N48" s="63">
        <f t="shared" si="71"/>
        <v>24.119032521150274</v>
      </c>
      <c r="O48" s="63">
        <f t="shared" si="72"/>
        <v>26.970543487807824</v>
      </c>
      <c r="P48" s="51">
        <v>37</v>
      </c>
      <c r="Q48" s="63">
        <f t="shared" si="73"/>
        <v>23.81303692733547</v>
      </c>
      <c r="R48" s="63">
        <f t="shared" si="74"/>
        <v>31.43545132811157</v>
      </c>
      <c r="S48" s="51">
        <v>37</v>
      </c>
      <c r="T48" s="63">
        <f t="shared" si="75"/>
        <v>23.53164493786545</v>
      </c>
      <c r="U48" s="63">
        <f t="shared" si="76"/>
        <v>35.900359168415314</v>
      </c>
      <c r="V48" s="51">
        <v>45</v>
      </c>
      <c r="W48" s="63">
        <f t="shared" si="77"/>
        <v>23.269731660141034</v>
      </c>
      <c r="X48" s="63">
        <f t="shared" si="78"/>
        <v>40.365267008719066</v>
      </c>
      <c r="Y48" s="51">
        <v>45</v>
      </c>
      <c r="Z48" s="63">
        <f t="shared" si="79"/>
        <v>23.02373733160528</v>
      </c>
      <c r="AA48" s="63">
        <f t="shared" si="80"/>
        <v>44.830174849022804</v>
      </c>
      <c r="AB48" s="51">
        <v>55</v>
      </c>
      <c r="AC48" s="63">
        <f>(C48-658*SQRT((98+101.325)/101.325-1))*D48/C48</f>
        <v>22.79107011080816</v>
      </c>
      <c r="AD48" s="63">
        <f>D48*98/98*1.634*1+1*POWER(C48/2000,2.3)</f>
        <v>49.29508268932655</v>
      </c>
      <c r="AE48" s="51">
        <v>55</v>
      </c>
      <c r="AF48" s="78">
        <v>2</v>
      </c>
    </row>
    <row r="49" spans="1:32" ht="45" customHeight="1">
      <c r="A49" s="142"/>
      <c r="B49" s="64"/>
      <c r="C49" s="64">
        <v>4200</v>
      </c>
      <c r="D49" s="90">
        <f t="shared" si="64"/>
        <v>29.426941796559856</v>
      </c>
      <c r="E49" s="73">
        <f t="shared" si="65"/>
        <v>27.399298935370442</v>
      </c>
      <c r="F49" s="75">
        <f t="shared" si="66"/>
        <v>15.126125507802172</v>
      </c>
      <c r="G49" s="74">
        <v>18.5</v>
      </c>
      <c r="H49" s="73">
        <f t="shared" si="67"/>
        <v>26.943596601304353</v>
      </c>
      <c r="I49" s="75">
        <f t="shared" si="68"/>
        <v>19.93448779736005</v>
      </c>
      <c r="J49" s="64">
        <v>30</v>
      </c>
      <c r="K49" s="75">
        <f t="shared" si="69"/>
        <v>26.559421762616797</v>
      </c>
      <c r="L49" s="75">
        <f t="shared" si="70"/>
        <v>24.742850086917933</v>
      </c>
      <c r="M49" s="64">
        <v>30</v>
      </c>
      <c r="N49" s="75">
        <f t="shared" si="71"/>
        <v>26.220956935190266</v>
      </c>
      <c r="O49" s="75">
        <f t="shared" si="72"/>
        <v>29.55121237647581</v>
      </c>
      <c r="P49" s="64">
        <v>37</v>
      </c>
      <c r="Q49" s="75">
        <f t="shared" si="73"/>
        <v>25.91496134137546</v>
      </c>
      <c r="R49" s="75">
        <f t="shared" si="74"/>
        <v>34.359574666033694</v>
      </c>
      <c r="S49" s="64">
        <v>45</v>
      </c>
      <c r="T49" s="75">
        <f t="shared" si="75"/>
        <v>25.633569351905443</v>
      </c>
      <c r="U49" s="75">
        <f t="shared" si="76"/>
        <v>39.16793695559157</v>
      </c>
      <c r="V49" s="64">
        <v>45</v>
      </c>
      <c r="W49" s="75">
        <f t="shared" si="77"/>
        <v>25.371656074181026</v>
      </c>
      <c r="X49" s="75">
        <f t="shared" si="78"/>
        <v>43.976299245149455</v>
      </c>
      <c r="Y49" s="64">
        <v>55</v>
      </c>
      <c r="Z49" s="75">
        <f t="shared" si="79"/>
        <v>25.12566174564527</v>
      </c>
      <c r="AA49" s="75">
        <f t="shared" si="80"/>
        <v>48.784661534707325</v>
      </c>
      <c r="AB49" s="64">
        <v>55</v>
      </c>
      <c r="AC49" s="75"/>
      <c r="AD49" s="75"/>
      <c r="AE49" s="64"/>
      <c r="AF49" s="92">
        <v>2</v>
      </c>
    </row>
    <row r="50" spans="1:32" ht="45" customHeight="1">
      <c r="A50" s="141" t="s">
        <v>19</v>
      </c>
      <c r="B50" s="68"/>
      <c r="C50" s="68">
        <v>2000</v>
      </c>
      <c r="D50" s="60">
        <f>PI()/2*0.526*POWER(0.171,2)*0.38*C50</f>
        <v>18.361638559429792</v>
      </c>
      <c r="E50" s="72">
        <f>(C50-625*SQRT((19.6+101.325)/101.325-1))*D50/C50</f>
        <v>15.837976576762953</v>
      </c>
      <c r="F50" s="52">
        <f>D50*19.6/98*1.634*1+1.1*POWER(C50/2000,2.3)</f>
        <v>7.100583481221657</v>
      </c>
      <c r="G50" s="59">
        <v>11</v>
      </c>
      <c r="H50" s="72">
        <f>(C50-625*SQRT((29.4+101.325)/101.325-1))*D50/C50</f>
        <v>15.270796489032653</v>
      </c>
      <c r="I50" s="63">
        <f>D50*29.4/98*1.634*1+1.1*POWER(C50/2000,2.3)</f>
        <v>10.100875221832483</v>
      </c>
      <c r="J50" s="51">
        <v>15</v>
      </c>
      <c r="K50" s="63">
        <f>(C50-625*SQRT((39.2+101.325)/101.325-1))*D50/C50</f>
        <v>14.792641556696978</v>
      </c>
      <c r="L50" s="63">
        <f>D50*39.2/98*1.634*1+1.1*POWER(C50/2000,2.3)</f>
        <v>13.101166962443312</v>
      </c>
      <c r="M50" s="51">
        <v>18.5</v>
      </c>
      <c r="N50" s="63">
        <f>(C50-625*SQRT((49+101.325)/101.325-1))*D50/C50</f>
        <v>14.371378604628003</v>
      </c>
      <c r="O50" s="63">
        <f>D50*49/98*1.634*1+1.1*POWER(C50/2000,2.3)</f>
        <v>16.10145870305414</v>
      </c>
      <c r="P50" s="51">
        <v>18.5</v>
      </c>
      <c r="Q50" s="63">
        <f>(C50-625*SQRT((58.8+101.325)/101.325-1))*D50/C50</f>
        <v>13.99052778432082</v>
      </c>
      <c r="R50" s="63">
        <f>D50*58.8/98*1.634*1+1.1*POWER(C50/2000,2.3)</f>
        <v>19.10175044366497</v>
      </c>
      <c r="S50" s="51">
        <v>22</v>
      </c>
      <c r="T50" s="63">
        <f>(C50-625*SQRT((68.6+101.325)/101.325-1))*D50/C50</f>
        <v>13.640299309846819</v>
      </c>
      <c r="U50" s="63">
        <f>D50*68.6/98*1.634*1+1.1*POWER(C50/2000,2.3)</f>
        <v>22.102042184275795</v>
      </c>
      <c r="V50" s="51">
        <v>30</v>
      </c>
      <c r="W50" s="63"/>
      <c r="X50" s="63"/>
      <c r="Y50" s="51"/>
      <c r="Z50" s="52"/>
      <c r="AA50" s="63"/>
      <c r="AB50" s="51"/>
      <c r="AC50" s="52"/>
      <c r="AD50" s="63"/>
      <c r="AE50" s="51"/>
      <c r="AF50" s="61">
        <v>2</v>
      </c>
    </row>
    <row r="51" spans="1:32" ht="45" customHeight="1">
      <c r="A51" s="139"/>
      <c r="B51" s="51"/>
      <c r="C51" s="51">
        <v>2400</v>
      </c>
      <c r="D51" s="52">
        <f aca="true" t="shared" si="81" ref="D51:D56">PI()/2*0.526*POWER(0.171,2)*0.38*C51</f>
        <v>22.03396627131575</v>
      </c>
      <c r="E51" s="72">
        <f aca="true" t="shared" si="82" ref="E51:E56">(C51-625*SQRT((19.6+101.325)/101.325-1))*D51/C51</f>
        <v>19.510304288648914</v>
      </c>
      <c r="F51" s="52">
        <f aca="true" t="shared" si="83" ref="F51:F56">D51*19.6/98*1.634*1+1.1*POWER(C51/2000,2.3)</f>
        <v>8.873752607473772</v>
      </c>
      <c r="G51" s="59">
        <v>11</v>
      </c>
      <c r="H51" s="72">
        <f aca="true" t="shared" si="84" ref="H51:H56">(C51-625*SQRT((29.4+101.325)/101.325-1))*D51/C51</f>
        <v>18.943124200918614</v>
      </c>
      <c r="I51" s="63">
        <f aca="true" t="shared" si="85" ref="I51:I56">D51*29.4/98*1.634*1+1.1*POWER(C51/2000,2.3)</f>
        <v>12.474102696206765</v>
      </c>
      <c r="J51" s="51">
        <v>15</v>
      </c>
      <c r="K51" s="63">
        <f aca="true" t="shared" si="86" ref="K51:K56">(C51-625*SQRT((39.2+101.325)/101.325-1))*D51/C51</f>
        <v>18.464969268582937</v>
      </c>
      <c r="L51" s="63">
        <f aca="true" t="shared" si="87" ref="L51:L56">D51*39.2/98*1.634*1+1.1*POWER(C51/2000,2.3)</f>
        <v>16.07445278493976</v>
      </c>
      <c r="M51" s="51">
        <v>18.5</v>
      </c>
      <c r="N51" s="63">
        <f aca="true" t="shared" si="88" ref="N51:N56">(C51-625*SQRT((49+101.325)/101.325-1))*D51/C51</f>
        <v>18.043706316513962</v>
      </c>
      <c r="O51" s="63">
        <f aca="true" t="shared" si="89" ref="O51:O56">D51*49/98*1.634*1+1.1*POWER(C51/2000,2.3)</f>
        <v>19.674802873672753</v>
      </c>
      <c r="P51" s="51">
        <v>30</v>
      </c>
      <c r="Q51" s="63">
        <f aca="true" t="shared" si="90" ref="Q51:Q56">(C51-625*SQRT((58.8+101.325)/101.325-1))*D51/C51</f>
        <v>17.662855496206777</v>
      </c>
      <c r="R51" s="63">
        <f aca="true" t="shared" si="91" ref="R51:R56">D51*58.8/98*1.634*1+1.1*POWER(C51/2000,2.3)</f>
        <v>23.27515296240575</v>
      </c>
      <c r="S51" s="51">
        <v>30</v>
      </c>
      <c r="T51" s="63">
        <f aca="true" t="shared" si="92" ref="T51:T56">(C51-625*SQRT((68.6+101.325)/101.325-1))*D51/C51</f>
        <v>17.31262702173278</v>
      </c>
      <c r="U51" s="63">
        <f aca="true" t="shared" si="93" ref="U51:U56">D51*68.6/98*1.634*1+1.1*POWER(C51/2000,2.3)</f>
        <v>26.875503051138736</v>
      </c>
      <c r="V51" s="51">
        <v>37</v>
      </c>
      <c r="W51" s="63"/>
      <c r="X51" s="63"/>
      <c r="Y51" s="51"/>
      <c r="Z51" s="63"/>
      <c r="AA51" s="63"/>
      <c r="AB51" s="51"/>
      <c r="AC51" s="63"/>
      <c r="AD51" s="63"/>
      <c r="AE51" s="51"/>
      <c r="AF51" s="62">
        <v>2</v>
      </c>
    </row>
    <row r="52" spans="1:32" ht="45" customHeight="1">
      <c r="A52" s="139"/>
      <c r="B52" s="51"/>
      <c r="C52" s="51">
        <v>2750</v>
      </c>
      <c r="D52" s="52">
        <f t="shared" si="81"/>
        <v>25.247253019215968</v>
      </c>
      <c r="E52" s="72">
        <f t="shared" si="82"/>
        <v>22.72359103654913</v>
      </c>
      <c r="F52" s="63">
        <f t="shared" si="83"/>
        <v>10.538975467055836</v>
      </c>
      <c r="G52" s="59">
        <v>15</v>
      </c>
      <c r="H52" s="72">
        <f t="shared" si="84"/>
        <v>22.156410948818827</v>
      </c>
      <c r="I52" s="63">
        <f t="shared" si="85"/>
        <v>14.664376610395724</v>
      </c>
      <c r="J52" s="51">
        <v>18.5</v>
      </c>
      <c r="K52" s="63">
        <f t="shared" si="86"/>
        <v>21.67825601648315</v>
      </c>
      <c r="L52" s="63">
        <f t="shared" si="87"/>
        <v>18.789777753735613</v>
      </c>
      <c r="M52" s="51">
        <v>22</v>
      </c>
      <c r="N52" s="63">
        <f t="shared" si="88"/>
        <v>21.25699306441418</v>
      </c>
      <c r="O52" s="63">
        <f t="shared" si="89"/>
        <v>22.9151788970755</v>
      </c>
      <c r="P52" s="51">
        <v>30</v>
      </c>
      <c r="Q52" s="63">
        <f t="shared" si="90"/>
        <v>20.876142244106994</v>
      </c>
      <c r="R52" s="63">
        <f t="shared" si="91"/>
        <v>27.04058004041539</v>
      </c>
      <c r="S52" s="51">
        <v>37</v>
      </c>
      <c r="T52" s="63">
        <f t="shared" si="92"/>
        <v>20.525913769632997</v>
      </c>
      <c r="U52" s="63">
        <f t="shared" si="93"/>
        <v>31.165981183755274</v>
      </c>
      <c r="V52" s="51">
        <v>37</v>
      </c>
      <c r="W52" s="63"/>
      <c r="X52" s="63"/>
      <c r="Y52" s="51"/>
      <c r="Z52" s="63"/>
      <c r="AA52" s="63"/>
      <c r="AB52" s="51"/>
      <c r="AC52" s="63"/>
      <c r="AD52" s="63"/>
      <c r="AE52" s="51"/>
      <c r="AF52" s="62">
        <v>2</v>
      </c>
    </row>
    <row r="53" spans="1:32" ht="45" customHeight="1">
      <c r="A53" s="139"/>
      <c r="B53" s="51">
        <v>150</v>
      </c>
      <c r="C53" s="51">
        <v>3100</v>
      </c>
      <c r="D53" s="52">
        <f t="shared" si="81"/>
        <v>28.46053976711618</v>
      </c>
      <c r="E53" s="72">
        <f t="shared" si="82"/>
        <v>25.93687778444934</v>
      </c>
      <c r="F53" s="63">
        <f t="shared" si="83"/>
        <v>12.314990057226261</v>
      </c>
      <c r="G53" s="59">
        <v>15</v>
      </c>
      <c r="H53" s="72">
        <f t="shared" si="84"/>
        <v>25.36969769671904</v>
      </c>
      <c r="I53" s="63">
        <f t="shared" si="85"/>
        <v>16.96544225517304</v>
      </c>
      <c r="J53" s="51">
        <v>22</v>
      </c>
      <c r="K53" s="63">
        <f t="shared" si="86"/>
        <v>24.891542764383363</v>
      </c>
      <c r="L53" s="63">
        <f t="shared" si="87"/>
        <v>21.615894453119832</v>
      </c>
      <c r="M53" s="51">
        <v>30</v>
      </c>
      <c r="N53" s="63">
        <f t="shared" si="88"/>
        <v>24.47027981231439</v>
      </c>
      <c r="O53" s="63">
        <f t="shared" si="89"/>
        <v>26.26634665106661</v>
      </c>
      <c r="P53" s="51">
        <v>30</v>
      </c>
      <c r="Q53" s="63">
        <f t="shared" si="90"/>
        <v>24.089428992007207</v>
      </c>
      <c r="R53" s="63">
        <f t="shared" si="91"/>
        <v>30.916798849013393</v>
      </c>
      <c r="S53" s="51">
        <v>37</v>
      </c>
      <c r="T53" s="63">
        <f t="shared" si="92"/>
        <v>23.73920051753321</v>
      </c>
      <c r="U53" s="63">
        <f t="shared" si="93"/>
        <v>35.56725104696018</v>
      </c>
      <c r="V53" s="51">
        <v>45</v>
      </c>
      <c r="W53" s="63"/>
      <c r="X53" s="63"/>
      <c r="Y53" s="51"/>
      <c r="Z53" s="63"/>
      <c r="AA53" s="63"/>
      <c r="AB53" s="51"/>
      <c r="AC53" s="63"/>
      <c r="AD53" s="63"/>
      <c r="AE53" s="51"/>
      <c r="AF53" s="62">
        <v>2</v>
      </c>
    </row>
    <row r="54" spans="1:32" ht="45" customHeight="1">
      <c r="A54" s="139"/>
      <c r="B54" s="51"/>
      <c r="C54" s="51">
        <v>3500</v>
      </c>
      <c r="D54" s="52">
        <f t="shared" si="81"/>
        <v>32.13286747900214</v>
      </c>
      <c r="E54" s="72">
        <f t="shared" si="82"/>
        <v>29.6092054963353</v>
      </c>
      <c r="F54" s="63">
        <f t="shared" si="83"/>
        <v>14.485579498164384</v>
      </c>
      <c r="G54" s="59">
        <v>18.5</v>
      </c>
      <c r="H54" s="72">
        <f t="shared" si="84"/>
        <v>29.042025408604996</v>
      </c>
      <c r="I54" s="63">
        <f t="shared" si="85"/>
        <v>19.73609004423333</v>
      </c>
      <c r="J54" s="51">
        <v>30</v>
      </c>
      <c r="K54" s="63">
        <f t="shared" si="86"/>
        <v>28.56387047626932</v>
      </c>
      <c r="L54" s="63">
        <f t="shared" si="87"/>
        <v>24.98660059030228</v>
      </c>
      <c r="M54" s="51">
        <v>30</v>
      </c>
      <c r="N54" s="63">
        <f t="shared" si="88"/>
        <v>28.142607524200347</v>
      </c>
      <c r="O54" s="63">
        <f t="shared" si="89"/>
        <v>30.237111136371226</v>
      </c>
      <c r="P54" s="51">
        <v>37</v>
      </c>
      <c r="Q54" s="63">
        <f t="shared" si="90"/>
        <v>27.761756703893163</v>
      </c>
      <c r="R54" s="63">
        <f t="shared" si="91"/>
        <v>35.48762168244018</v>
      </c>
      <c r="S54" s="51">
        <v>45</v>
      </c>
      <c r="T54" s="63">
        <f t="shared" si="92"/>
        <v>27.41152822941917</v>
      </c>
      <c r="U54" s="63">
        <f t="shared" si="93"/>
        <v>40.73813222850912</v>
      </c>
      <c r="V54" s="51">
        <v>45</v>
      </c>
      <c r="W54" s="63"/>
      <c r="X54" s="63"/>
      <c r="Y54" s="51"/>
      <c r="Z54" s="63"/>
      <c r="AA54" s="63"/>
      <c r="AB54" s="51"/>
      <c r="AC54" s="63"/>
      <c r="AD54" s="63"/>
      <c r="AE54" s="51"/>
      <c r="AF54" s="62">
        <v>2</v>
      </c>
    </row>
    <row r="55" spans="1:32" ht="45" customHeight="1">
      <c r="A55" s="139"/>
      <c r="B55" s="51"/>
      <c r="C55" s="51">
        <v>3900</v>
      </c>
      <c r="D55" s="52">
        <f t="shared" si="81"/>
        <v>35.8051951908881</v>
      </c>
      <c r="E55" s="72">
        <f t="shared" si="82"/>
        <v>33.28153320822126</v>
      </c>
      <c r="F55" s="63">
        <f t="shared" si="83"/>
        <v>16.811742503300238</v>
      </c>
      <c r="G55" s="59">
        <v>22</v>
      </c>
      <c r="H55" s="72">
        <f t="shared" si="84"/>
        <v>32.71435312049096</v>
      </c>
      <c r="I55" s="63">
        <f t="shared" si="85"/>
        <v>22.662311397491354</v>
      </c>
      <c r="J55" s="51">
        <v>30</v>
      </c>
      <c r="K55" s="63">
        <f t="shared" si="86"/>
        <v>32.236198188155285</v>
      </c>
      <c r="L55" s="63">
        <f t="shared" si="87"/>
        <v>28.51288029168247</v>
      </c>
      <c r="M55" s="51">
        <v>37</v>
      </c>
      <c r="N55" s="63">
        <f t="shared" si="88"/>
        <v>31.81493523608631</v>
      </c>
      <c r="O55" s="63">
        <f t="shared" si="89"/>
        <v>34.363449185873584</v>
      </c>
      <c r="P55" s="51">
        <v>45</v>
      </c>
      <c r="Q55" s="63">
        <f t="shared" si="90"/>
        <v>31.434084415779125</v>
      </c>
      <c r="R55" s="63">
        <f t="shared" si="91"/>
        <v>40.214018080064704</v>
      </c>
      <c r="S55" s="51">
        <v>45</v>
      </c>
      <c r="T55" s="63">
        <f t="shared" si="92"/>
        <v>31.083855941305128</v>
      </c>
      <c r="U55" s="63">
        <f t="shared" si="93"/>
        <v>46.06458697425582</v>
      </c>
      <c r="V55" s="51">
        <v>55</v>
      </c>
      <c r="W55" s="63"/>
      <c r="X55" s="63"/>
      <c r="Y55" s="51"/>
      <c r="Z55" s="63"/>
      <c r="AA55" s="63"/>
      <c r="AB55" s="51"/>
      <c r="AC55" s="63"/>
      <c r="AD55" s="63"/>
      <c r="AE55" s="51"/>
      <c r="AF55" s="62">
        <v>2</v>
      </c>
    </row>
    <row r="56" spans="1:32" ht="45" customHeight="1">
      <c r="A56" s="142"/>
      <c r="B56" s="64"/>
      <c r="C56" s="64">
        <v>4200</v>
      </c>
      <c r="D56" s="66">
        <f t="shared" si="81"/>
        <v>38.55944097480257</v>
      </c>
      <c r="E56" s="72">
        <f t="shared" si="82"/>
        <v>36.03577899213573</v>
      </c>
      <c r="F56" s="63">
        <f t="shared" si="83"/>
        <v>18.661566332120533</v>
      </c>
      <c r="G56" s="59">
        <v>22</v>
      </c>
      <c r="H56" s="72">
        <f t="shared" si="84"/>
        <v>35.468598904405425</v>
      </c>
      <c r="I56" s="63">
        <f t="shared" si="85"/>
        <v>24.96217898740327</v>
      </c>
      <c r="J56" s="51">
        <v>30</v>
      </c>
      <c r="K56" s="63">
        <f t="shared" si="86"/>
        <v>34.99044397206975</v>
      </c>
      <c r="L56" s="63">
        <f t="shared" si="87"/>
        <v>31.26279164268601</v>
      </c>
      <c r="M56" s="51">
        <v>37</v>
      </c>
      <c r="N56" s="63">
        <f t="shared" si="88"/>
        <v>34.56918102000078</v>
      </c>
      <c r="O56" s="63">
        <f t="shared" si="89"/>
        <v>37.56340429796875</v>
      </c>
      <c r="P56" s="51">
        <v>45</v>
      </c>
      <c r="Q56" s="63">
        <f t="shared" si="90"/>
        <v>34.188330199693596</v>
      </c>
      <c r="R56" s="63">
        <f t="shared" si="91"/>
        <v>43.864016953251486</v>
      </c>
      <c r="S56" s="51">
        <v>55</v>
      </c>
      <c r="T56" s="63">
        <f t="shared" si="92"/>
        <v>33.838101725219595</v>
      </c>
      <c r="U56" s="63">
        <f t="shared" si="93"/>
        <v>50.16462960853423</v>
      </c>
      <c r="V56" s="51">
        <v>55</v>
      </c>
      <c r="W56" s="63"/>
      <c r="X56" s="63"/>
      <c r="Y56" s="51"/>
      <c r="Z56" s="63"/>
      <c r="AA56" s="63"/>
      <c r="AB56" s="51"/>
      <c r="AC56" s="63"/>
      <c r="AD56" s="63"/>
      <c r="AE56" s="51"/>
      <c r="AF56" s="67">
        <v>2</v>
      </c>
    </row>
    <row r="57" spans="1:32" ht="45" customHeight="1">
      <c r="A57" s="141" t="s">
        <v>31</v>
      </c>
      <c r="B57" s="68"/>
      <c r="C57" s="68">
        <v>1480</v>
      </c>
      <c r="D57" s="76">
        <f>PI()/2*0.526*POWER(0.252,2)*0.29*C57</f>
        <v>22.519897840248206</v>
      </c>
      <c r="E57" s="111">
        <f>(C57-460*SQRT((19.6+101.325)/101.325-1))*D57/C57</f>
        <v>19.441446723124415</v>
      </c>
      <c r="F57" s="60">
        <f>D57*19.6/98*1.634*1+1.5*POWER(C57/1500,2.36)</f>
        <v>8.812729874677963</v>
      </c>
      <c r="G57" s="70">
        <v>11</v>
      </c>
      <c r="H57" s="111">
        <f>(C57-460*SQRT((29.4+101.325)/101.325-1))*D57/C57</f>
        <v>18.749580622721137</v>
      </c>
      <c r="I57" s="71">
        <f>D57*29.4/98*1.634*1+1.5*POWER(C57/1500,2.36)</f>
        <v>12.492481181774519</v>
      </c>
      <c r="J57" s="68">
        <v>15</v>
      </c>
      <c r="K57" s="71">
        <f>(C57-460*SQRT((39.2+101.325)/101.325-1))*D57/C57</f>
        <v>18.16631051930914</v>
      </c>
      <c r="L57" s="71">
        <f>D57*39.2/98*1.634*1+1.5*POWER(C57/1500,2.36)</f>
        <v>16.172232488871074</v>
      </c>
      <c r="M57" s="68">
        <v>18.5</v>
      </c>
      <c r="N57" s="71">
        <f>(C57-460*SQRT((49+101.325)/101.325-1))*D57/C57</f>
        <v>17.65243924244773</v>
      </c>
      <c r="O57" s="71">
        <f>D57*49/98*1.634*1+1.5*POWER(C57/1500,2.36)</f>
        <v>19.85198379596763</v>
      </c>
      <c r="P57" s="68">
        <v>30</v>
      </c>
      <c r="Q57" s="71">
        <f>(C57-460*SQRT((58.8+101.325)/101.325-1))*D57/C57</f>
        <v>17.187864096772632</v>
      </c>
      <c r="R57" s="71">
        <f>D57*58.8/98*1.634*1+1.5*POWER(C57/1500,2.36)</f>
        <v>23.531735103064186</v>
      </c>
      <c r="S57" s="68">
        <v>30</v>
      </c>
      <c r="T57" s="71">
        <f>(C57-460*SQRT((68.6+101.325)/101.325-1))*D57/C57</f>
        <v>16.760643159143843</v>
      </c>
      <c r="U57" s="71">
        <f>D57*68.6/98*1.634*1+1.5*POWER(C57/1500,2.36)</f>
        <v>27.211486410160738</v>
      </c>
      <c r="V57" s="68">
        <v>37</v>
      </c>
      <c r="W57" s="71">
        <f>(C57-460*SQRT((78.4+101.325)/101.325-1))*D57/C57</f>
        <v>16.362995606000627</v>
      </c>
      <c r="X57" s="71">
        <f>D57*78.4/98*1.634*1+1.5*POWER(C57/1500,2.36)</f>
        <v>30.8912377172573</v>
      </c>
      <c r="Y57" s="68">
        <v>37</v>
      </c>
      <c r="Z57" s="71">
        <f>(C57-460*SQRT((88.2+101.325)/101.325-1))*D57/C57</f>
        <v>15.989516858839606</v>
      </c>
      <c r="AA57" s="71">
        <f>D57*88.2/98*1.634*1+1.5*POWER(C57/1500,2.36)</f>
        <v>34.570989024353864</v>
      </c>
      <c r="AB57" s="68">
        <v>45</v>
      </c>
      <c r="AC57" s="71">
        <f>(C57-460*SQRT((98+101.325)/101.325-1))*D57/C57</f>
        <v>15.636271876949248</v>
      </c>
      <c r="AD57" s="71">
        <f>D57*98/98*1.634*1+1.5*POWER(C57/1500,2.36)</f>
        <v>38.250740331450416</v>
      </c>
      <c r="AE57" s="68">
        <v>45</v>
      </c>
      <c r="AF57" s="91">
        <v>2</v>
      </c>
    </row>
    <row r="58" spans="1:32" ht="45" customHeight="1">
      <c r="A58" s="139"/>
      <c r="B58" s="51"/>
      <c r="C58" s="51">
        <v>1680</v>
      </c>
      <c r="D58" s="77">
        <f aca="true" t="shared" si="94" ref="D58:D63">PI()/2*0.526*POWER(0.252,2)*0.29*C58</f>
        <v>25.563127278119584</v>
      </c>
      <c r="E58" s="72">
        <f aca="true" t="shared" si="95" ref="E58:E63">(C58-460*SQRT((19.6+101.325)/101.325-1))*D58/C58</f>
        <v>22.484676160995797</v>
      </c>
      <c r="F58" s="63">
        <f aca="true" t="shared" si="96" ref="F58:F63">D58*19.6/98*1.634*1+1.5*POWER(C58/1500,2.36)</f>
        <v>10.31398360613136</v>
      </c>
      <c r="G58" s="59">
        <v>15</v>
      </c>
      <c r="H58" s="72">
        <f aca="true" t="shared" si="97" ref="H58:H63">(C58-460*SQRT((29.4+101.325)/101.325-1))*D58/C58</f>
        <v>21.792810060592515</v>
      </c>
      <c r="I58" s="63">
        <f aca="true" t="shared" si="98" ref="I58:I63">D58*29.4/98*1.634*1+1.5*POWER(C58/1500,2.36)</f>
        <v>14.490998603376099</v>
      </c>
      <c r="J58" s="51">
        <v>18.5</v>
      </c>
      <c r="K58" s="63">
        <f aca="true" t="shared" si="99" ref="K58:K63">(C58-460*SQRT((39.2+101.325)/101.325-1))*D58/C58</f>
        <v>21.209539957180514</v>
      </c>
      <c r="L58" s="63">
        <f aca="true" t="shared" si="100" ref="L58:L63">D58*39.2/98*1.634*1+1.5*POWER(C58/1500,2.36)</f>
        <v>18.668013600620842</v>
      </c>
      <c r="M58" s="51">
        <v>22</v>
      </c>
      <c r="N58" s="63">
        <f aca="true" t="shared" si="101" ref="N58:N63">(C58-460*SQRT((49+101.325)/101.325-1))*D58/C58</f>
        <v>20.695668680319113</v>
      </c>
      <c r="O58" s="63">
        <f aca="true" t="shared" si="102" ref="O58:O63">D58*49/98*1.634*1+1.5*POWER(C58/1500,2.36)</f>
        <v>22.84502859786558</v>
      </c>
      <c r="P58" s="51">
        <v>30</v>
      </c>
      <c r="Q58" s="63">
        <f aca="true" t="shared" si="103" ref="Q58:Q63">(C58-460*SQRT((58.8+101.325)/101.325-1))*D58/C58</f>
        <v>20.231093534644014</v>
      </c>
      <c r="R58" s="63">
        <f aca="true" t="shared" si="104" ref="R58:R63">D58*58.8/98*1.634*1+1.5*POWER(C58/1500,2.36)</f>
        <v>27.02204359511032</v>
      </c>
      <c r="S58" s="51">
        <v>37</v>
      </c>
      <c r="T58" s="63">
        <f aca="true" t="shared" si="105" ref="T58:T63">(C58-460*SQRT((68.6+101.325)/101.325-1))*D58/C58</f>
        <v>19.803872597015225</v>
      </c>
      <c r="U58" s="63">
        <f aca="true" t="shared" si="106" ref="U58:U63">D58*68.6/98*1.634*1+1.5*POWER(C58/1500,2.36)</f>
        <v>31.199058592355055</v>
      </c>
      <c r="V58" s="51">
        <v>37</v>
      </c>
      <c r="W58" s="63">
        <f aca="true" t="shared" si="107" ref="W58:W63">(C58-460*SQRT((78.4+101.325)/101.325-1))*D58/C58</f>
        <v>19.40622504387201</v>
      </c>
      <c r="X58" s="63">
        <f aca="true" t="shared" si="108" ref="X58:X63">D58*78.4/98*1.634*1+1.5*POWER(C58/1500,2.36)</f>
        <v>35.376073589599805</v>
      </c>
      <c r="Y58" s="51">
        <v>45</v>
      </c>
      <c r="Z58" s="63">
        <f aca="true" t="shared" si="109" ref="Z58:Z63">(C58-460*SQRT((88.2+101.325)/101.325-1))*D58/C58</f>
        <v>19.032746296710982</v>
      </c>
      <c r="AA58" s="63">
        <f aca="true" t="shared" si="110" ref="AA58:AA63">D58*88.2/98*1.634*1+1.5*POWER(C58/1500,2.36)</f>
        <v>39.55308858684454</v>
      </c>
      <c r="AB58" s="51">
        <v>45</v>
      </c>
      <c r="AC58" s="63">
        <f aca="true" t="shared" si="111" ref="AC58:AC63">(C58-460*SQRT((98+101.325)/101.325-1))*D58/C58</f>
        <v>18.679501314820627</v>
      </c>
      <c r="AD58" s="63">
        <f aca="true" t="shared" si="112" ref="AD58:AD63">D58*98/98*1.634*1+1.5*POWER(C58/1500,2.36)</f>
        <v>43.73010358408928</v>
      </c>
      <c r="AE58" s="51">
        <v>55</v>
      </c>
      <c r="AF58" s="78">
        <v>2</v>
      </c>
    </row>
    <row r="59" spans="1:32" ht="45" customHeight="1">
      <c r="A59" s="139"/>
      <c r="B59" s="51"/>
      <c r="C59" s="51">
        <v>1880</v>
      </c>
      <c r="D59" s="77">
        <f t="shared" si="94"/>
        <v>28.606356715990962</v>
      </c>
      <c r="E59" s="72">
        <f t="shared" si="95"/>
        <v>25.527905598867175</v>
      </c>
      <c r="F59" s="63">
        <f t="shared" si="96"/>
        <v>11.90436647377518</v>
      </c>
      <c r="G59" s="59">
        <v>15</v>
      </c>
      <c r="H59" s="72">
        <f t="shared" si="97"/>
        <v>24.836039498463894</v>
      </c>
      <c r="I59" s="63">
        <f t="shared" si="98"/>
        <v>16.5786451611681</v>
      </c>
      <c r="J59" s="51">
        <v>22</v>
      </c>
      <c r="K59" s="63">
        <f t="shared" si="99"/>
        <v>24.252769395051896</v>
      </c>
      <c r="L59" s="63">
        <f t="shared" si="100"/>
        <v>21.252923848561025</v>
      </c>
      <c r="M59" s="51">
        <v>30</v>
      </c>
      <c r="N59" s="63">
        <f t="shared" si="101"/>
        <v>23.738898118190487</v>
      </c>
      <c r="O59" s="63">
        <f t="shared" si="102"/>
        <v>25.927202535953946</v>
      </c>
      <c r="P59" s="51">
        <v>30</v>
      </c>
      <c r="Q59" s="63">
        <f t="shared" si="103"/>
        <v>23.274322972515392</v>
      </c>
      <c r="R59" s="63">
        <f t="shared" si="104"/>
        <v>30.601481223346866</v>
      </c>
      <c r="S59" s="51">
        <v>37</v>
      </c>
      <c r="T59" s="63">
        <f t="shared" si="105"/>
        <v>22.8471020348866</v>
      </c>
      <c r="U59" s="63">
        <f t="shared" si="106"/>
        <v>35.2757599107398</v>
      </c>
      <c r="V59" s="51">
        <v>45</v>
      </c>
      <c r="W59" s="63">
        <f t="shared" si="107"/>
        <v>22.449454481743388</v>
      </c>
      <c r="X59" s="63">
        <f t="shared" si="108"/>
        <v>39.95003859813272</v>
      </c>
      <c r="Y59" s="51">
        <v>45</v>
      </c>
      <c r="Z59" s="63">
        <f t="shared" si="109"/>
        <v>22.075975734582364</v>
      </c>
      <c r="AA59" s="63">
        <f t="shared" si="110"/>
        <v>44.62431728552564</v>
      </c>
      <c r="AB59" s="51">
        <v>55</v>
      </c>
      <c r="AC59" s="63">
        <f t="shared" si="111"/>
        <v>21.722730752692005</v>
      </c>
      <c r="AD59" s="63">
        <f t="shared" si="112"/>
        <v>49.29859597291856</v>
      </c>
      <c r="AE59" s="51">
        <v>55</v>
      </c>
      <c r="AF59" s="78">
        <v>2</v>
      </c>
    </row>
    <row r="60" spans="1:32" ht="45" customHeight="1">
      <c r="A60" s="139"/>
      <c r="B60" s="51">
        <v>150</v>
      </c>
      <c r="C60" s="51">
        <v>2120</v>
      </c>
      <c r="D60" s="77">
        <f t="shared" si="94"/>
        <v>32.25823204143662</v>
      </c>
      <c r="E60" s="72">
        <f t="shared" si="95"/>
        <v>29.179780924312833</v>
      </c>
      <c r="F60" s="63">
        <f t="shared" si="96"/>
        <v>13.935651715038318</v>
      </c>
      <c r="G60" s="59">
        <v>18.5</v>
      </c>
      <c r="H60" s="72">
        <f t="shared" si="97"/>
        <v>28.487914823909552</v>
      </c>
      <c r="I60" s="63">
        <f t="shared" si="98"/>
        <v>19.20664683060906</v>
      </c>
      <c r="J60" s="51">
        <v>22</v>
      </c>
      <c r="K60" s="63">
        <f t="shared" si="99"/>
        <v>27.904644720497554</v>
      </c>
      <c r="L60" s="63">
        <f t="shared" si="100"/>
        <v>24.477641946179805</v>
      </c>
      <c r="M60" s="51">
        <v>30</v>
      </c>
      <c r="N60" s="63">
        <f t="shared" si="101"/>
        <v>27.39077344363615</v>
      </c>
      <c r="O60" s="63">
        <f t="shared" si="102"/>
        <v>29.74863706175055</v>
      </c>
      <c r="P60" s="51">
        <v>37</v>
      </c>
      <c r="Q60" s="63">
        <f t="shared" si="103"/>
        <v>26.926198297961047</v>
      </c>
      <c r="R60" s="63">
        <f t="shared" si="104"/>
        <v>35.01963217732129</v>
      </c>
      <c r="S60" s="51">
        <v>45</v>
      </c>
      <c r="T60" s="63">
        <f t="shared" si="105"/>
        <v>26.49897736033226</v>
      </c>
      <c r="U60" s="63">
        <f t="shared" si="106"/>
        <v>40.29062729289203</v>
      </c>
      <c r="V60" s="51">
        <v>45</v>
      </c>
      <c r="W60" s="63">
        <f t="shared" si="107"/>
        <v>26.101329807189042</v>
      </c>
      <c r="X60" s="63">
        <f t="shared" si="108"/>
        <v>45.561622408462775</v>
      </c>
      <c r="Y60" s="51">
        <v>55</v>
      </c>
      <c r="Z60" s="63">
        <f t="shared" si="109"/>
        <v>25.72785106002802</v>
      </c>
      <c r="AA60" s="63">
        <f t="shared" si="110"/>
        <v>50.83261752403352</v>
      </c>
      <c r="AB60" s="51">
        <v>75</v>
      </c>
      <c r="AC60" s="63">
        <f t="shared" si="111"/>
        <v>25.374606078137663</v>
      </c>
      <c r="AD60" s="63">
        <f t="shared" si="112"/>
        <v>56.103612639604265</v>
      </c>
      <c r="AE60" s="51">
        <v>75</v>
      </c>
      <c r="AF60" s="78">
        <v>2</v>
      </c>
    </row>
    <row r="61" spans="1:32" ht="45" customHeight="1">
      <c r="A61" s="139"/>
      <c r="B61" s="51"/>
      <c r="C61" s="51">
        <v>2370</v>
      </c>
      <c r="D61" s="77">
        <f t="shared" si="94"/>
        <v>36.06226883877584</v>
      </c>
      <c r="E61" s="72">
        <f t="shared" si="95"/>
        <v>32.98381772165205</v>
      </c>
      <c r="F61" s="63">
        <f t="shared" si="96"/>
        <v>16.200060773580134</v>
      </c>
      <c r="G61" s="59">
        <v>18.5</v>
      </c>
      <c r="H61" s="72">
        <f t="shared" si="97"/>
        <v>32.29195162124877</v>
      </c>
      <c r="I61" s="63">
        <f t="shared" si="98"/>
        <v>22.092635501836106</v>
      </c>
      <c r="J61" s="51">
        <v>30</v>
      </c>
      <c r="K61" s="63">
        <f t="shared" si="99"/>
        <v>31.70868151783678</v>
      </c>
      <c r="L61" s="63">
        <f t="shared" si="100"/>
        <v>27.98521023009208</v>
      </c>
      <c r="M61" s="51">
        <v>37</v>
      </c>
      <c r="N61" s="63">
        <f t="shared" si="101"/>
        <v>31.194810240975368</v>
      </c>
      <c r="O61" s="63">
        <f t="shared" si="102"/>
        <v>33.87778495834805</v>
      </c>
      <c r="P61" s="51">
        <v>45</v>
      </c>
      <c r="Q61" s="63">
        <f t="shared" si="103"/>
        <v>30.730235095300273</v>
      </c>
      <c r="R61" s="63">
        <f t="shared" si="104"/>
        <v>39.77035968660402</v>
      </c>
      <c r="S61" s="51">
        <v>45</v>
      </c>
      <c r="T61" s="63">
        <f t="shared" si="105"/>
        <v>30.30301415767148</v>
      </c>
      <c r="U61" s="63">
        <f t="shared" si="106"/>
        <v>45.66293441486</v>
      </c>
      <c r="V61" s="51">
        <v>55</v>
      </c>
      <c r="W61" s="63">
        <f t="shared" si="107"/>
        <v>29.90536660452827</v>
      </c>
      <c r="X61" s="63">
        <f t="shared" si="108"/>
        <v>51.55550914311597</v>
      </c>
      <c r="Y61" s="51">
        <v>75</v>
      </c>
      <c r="Z61" s="63">
        <f t="shared" si="109"/>
        <v>29.531887857367245</v>
      </c>
      <c r="AA61" s="63">
        <f t="shared" si="110"/>
        <v>57.44808387137194</v>
      </c>
      <c r="AB61" s="51">
        <v>75</v>
      </c>
      <c r="AC61" s="63">
        <f t="shared" si="111"/>
        <v>29.178642875476886</v>
      </c>
      <c r="AD61" s="63">
        <f t="shared" si="112"/>
        <v>63.340658599627915</v>
      </c>
      <c r="AE61" s="51">
        <v>75</v>
      </c>
      <c r="AF61" s="78">
        <v>2</v>
      </c>
    </row>
    <row r="62" spans="1:32" ht="45" customHeight="1">
      <c r="A62" s="139"/>
      <c r="B62" s="51"/>
      <c r="C62" s="51">
        <v>2650</v>
      </c>
      <c r="D62" s="77">
        <f t="shared" si="94"/>
        <v>40.32279005179577</v>
      </c>
      <c r="E62" s="72">
        <f t="shared" si="95"/>
        <v>37.24433893467198</v>
      </c>
      <c r="F62" s="63">
        <f t="shared" si="96"/>
        <v>18.923627089809607</v>
      </c>
      <c r="G62" s="59">
        <v>22</v>
      </c>
      <c r="H62" s="72">
        <f t="shared" si="97"/>
        <v>36.5524728342687</v>
      </c>
      <c r="I62" s="63">
        <f t="shared" si="98"/>
        <v>25.51237098427303</v>
      </c>
      <c r="J62" s="51">
        <v>30</v>
      </c>
      <c r="K62" s="63">
        <f t="shared" si="99"/>
        <v>35.96920273085671</v>
      </c>
      <c r="L62" s="63">
        <f t="shared" si="100"/>
        <v>32.10111487873647</v>
      </c>
      <c r="M62" s="51">
        <v>37</v>
      </c>
      <c r="N62" s="63">
        <f t="shared" si="101"/>
        <v>35.4553314539953</v>
      </c>
      <c r="O62" s="63">
        <f t="shared" si="102"/>
        <v>38.68985877319989</v>
      </c>
      <c r="P62" s="51">
        <v>45</v>
      </c>
      <c r="Q62" s="63">
        <f t="shared" si="103"/>
        <v>34.9907563083202</v>
      </c>
      <c r="R62" s="63">
        <f t="shared" si="104"/>
        <v>45.278602667663314</v>
      </c>
      <c r="S62" s="51">
        <v>55</v>
      </c>
      <c r="T62" s="63">
        <f t="shared" si="105"/>
        <v>34.56353537069141</v>
      </c>
      <c r="U62" s="63">
        <f t="shared" si="106"/>
        <v>51.86734656212674</v>
      </c>
      <c r="V62" s="51">
        <v>75</v>
      </c>
      <c r="W62" s="63">
        <f t="shared" si="107"/>
        <v>34.165887817548196</v>
      </c>
      <c r="X62" s="63">
        <f t="shared" si="108"/>
        <v>58.45609045659018</v>
      </c>
      <c r="Y62" s="51">
        <v>75</v>
      </c>
      <c r="Z62" s="63">
        <f t="shared" si="109"/>
        <v>33.792409070387166</v>
      </c>
      <c r="AA62" s="63">
        <f t="shared" si="110"/>
        <v>65.04483435105361</v>
      </c>
      <c r="AB62" s="51">
        <v>75</v>
      </c>
      <c r="AC62" s="63">
        <f t="shared" si="111"/>
        <v>33.43916408849681</v>
      </c>
      <c r="AD62" s="63">
        <f t="shared" si="112"/>
        <v>71.63357824551703</v>
      </c>
      <c r="AE62" s="51">
        <v>90</v>
      </c>
      <c r="AF62" s="78">
        <v>2</v>
      </c>
    </row>
    <row r="63" spans="1:32" ht="45" customHeight="1">
      <c r="A63" s="142"/>
      <c r="B63" s="64"/>
      <c r="C63" s="64">
        <v>2800</v>
      </c>
      <c r="D63" s="90">
        <f t="shared" si="94"/>
        <v>42.605212130199305</v>
      </c>
      <c r="E63" s="73">
        <f t="shared" si="95"/>
        <v>39.526761013075514</v>
      </c>
      <c r="F63" s="75">
        <f t="shared" si="96"/>
        <v>20.466864263007405</v>
      </c>
      <c r="G63" s="74">
        <v>30</v>
      </c>
      <c r="H63" s="73">
        <f t="shared" si="97"/>
        <v>38.83489491267224</v>
      </c>
      <c r="I63" s="75">
        <f t="shared" si="98"/>
        <v>27.428555925081973</v>
      </c>
      <c r="J63" s="64">
        <v>37</v>
      </c>
      <c r="K63" s="75">
        <f t="shared" si="99"/>
        <v>38.25162480926024</v>
      </c>
      <c r="L63" s="75">
        <f t="shared" si="100"/>
        <v>34.39024758715654</v>
      </c>
      <c r="M63" s="64">
        <v>45</v>
      </c>
      <c r="N63" s="75">
        <f t="shared" si="101"/>
        <v>37.737753532398834</v>
      </c>
      <c r="O63" s="75">
        <f t="shared" si="102"/>
        <v>41.3519392492311</v>
      </c>
      <c r="P63" s="64">
        <v>55</v>
      </c>
      <c r="Q63" s="75">
        <f t="shared" si="103"/>
        <v>37.27317838672374</v>
      </c>
      <c r="R63" s="75">
        <f t="shared" si="104"/>
        <v>48.31363091130567</v>
      </c>
      <c r="S63" s="64">
        <v>55</v>
      </c>
      <c r="T63" s="75">
        <f t="shared" si="105"/>
        <v>36.845957449094946</v>
      </c>
      <c r="U63" s="75">
        <f t="shared" si="106"/>
        <v>55.27532257338023</v>
      </c>
      <c r="V63" s="64">
        <v>75</v>
      </c>
      <c r="W63" s="75">
        <f t="shared" si="107"/>
        <v>36.44830989595172</v>
      </c>
      <c r="X63" s="75">
        <f t="shared" si="108"/>
        <v>62.2370142354548</v>
      </c>
      <c r="Y63" s="64">
        <v>75</v>
      </c>
      <c r="Z63" s="75">
        <f t="shared" si="109"/>
        <v>36.07483114879071</v>
      </c>
      <c r="AA63" s="75">
        <f t="shared" si="110"/>
        <v>69.19870589752938</v>
      </c>
      <c r="AB63" s="64">
        <v>90</v>
      </c>
      <c r="AC63" s="75">
        <f t="shared" si="111"/>
        <v>35.721586166900344</v>
      </c>
      <c r="AD63" s="75">
        <f t="shared" si="112"/>
        <v>76.16039755960392</v>
      </c>
      <c r="AE63" s="64">
        <v>90</v>
      </c>
      <c r="AF63" s="92">
        <v>2</v>
      </c>
    </row>
    <row r="64" spans="1:32" ht="45" customHeight="1">
      <c r="A64" s="141" t="s">
        <v>32</v>
      </c>
      <c r="B64" s="68"/>
      <c r="C64" s="68">
        <v>1480</v>
      </c>
      <c r="D64" s="76">
        <f>PI()/2*0.526*POWER(0.252,2)*0.41*C64</f>
        <v>31.838476256902638</v>
      </c>
      <c r="E64" s="111">
        <f>(C64-400*SQRT((19.6+101.325)/101.325-1))*D64/C64</f>
        <v>28.053873684126764</v>
      </c>
      <c r="F64" s="71">
        <f>D64*19.6/98*1.634*1+1.9*POWER(C64/1500,2.36)</f>
        <v>12.245568570703258</v>
      </c>
      <c r="G64" s="70">
        <v>15</v>
      </c>
      <c r="H64" s="111">
        <f>(C64-400*SQRT((29.4+101.325)/101.325-1))*D64/C64</f>
        <v>27.203303665639975</v>
      </c>
      <c r="I64" s="71">
        <f>D64*29.4/98*1.634*1+1.9*POWER(C64/1500,2.36)</f>
        <v>17.447975591081146</v>
      </c>
      <c r="J64" s="68">
        <v>22</v>
      </c>
      <c r="K64" s="71">
        <f>(C64-400*SQRT((39.2+101.325)/101.325-1))*D64/C64</f>
        <v>26.486239970290885</v>
      </c>
      <c r="L64" s="71">
        <f>D64*39.2/98*1.634*1+1.9*POWER(C64/1500,2.36)</f>
        <v>22.650382611459037</v>
      </c>
      <c r="M64" s="68">
        <v>30</v>
      </c>
      <c r="N64" s="71">
        <f>(C64-400*SQRT((49+101.325)/101.325-1))*D64/C64</f>
        <v>25.85449417265018</v>
      </c>
      <c r="O64" s="71">
        <f>D64*49/98*1.634*1+1.9*POWER(C64/1500,2.36)</f>
        <v>27.852789631836927</v>
      </c>
      <c r="P64" s="68">
        <v>37</v>
      </c>
      <c r="Q64" s="71">
        <f>(C64-400*SQRT((58.8+101.325)/101.325-1))*D64/C64</f>
        <v>25.283352314398936</v>
      </c>
      <c r="R64" s="71">
        <f>D64*58.8/98*1.634*1+1.9*POWER(C64/1500,2.36)</f>
        <v>33.05519665221482</v>
      </c>
      <c r="S64" s="68">
        <v>37</v>
      </c>
      <c r="T64" s="71">
        <f>(C64-400*SQRT((68.6+101.325)/101.325-1))*D64/C64</f>
        <v>24.758133170687383</v>
      </c>
      <c r="U64" s="71">
        <f>D64*68.6/98*1.634*1+1.9*POWER(C64/1500,2.36)</f>
        <v>38.25760367259271</v>
      </c>
      <c r="V64" s="68">
        <v>45</v>
      </c>
      <c r="W64" s="71">
        <f>(C64-400*SQRT((78.4+101.325)/101.325-1))*D64/C64</f>
        <v>24.26927111135089</v>
      </c>
      <c r="X64" s="71">
        <f>D64*78.4/98*1.634*1+1.9*POWER(C64/1500,2.36)</f>
        <v>43.4600106929706</v>
      </c>
      <c r="Y64" s="68">
        <v>55</v>
      </c>
      <c r="Z64" s="71">
        <f>(C64-400*SQRT((88.2+101.325)/101.325-1))*D64/C64</f>
        <v>23.810121826985018</v>
      </c>
      <c r="AA64" s="71">
        <f>D64*88.2/98*1.634*1+1.9*POWER(C64/1500,2.36)</f>
        <v>48.662417713348496</v>
      </c>
      <c r="AB64" s="68">
        <v>55</v>
      </c>
      <c r="AC64" s="71">
        <f aca="true" t="shared" si="113" ref="AC64:AC69">(C64-400*SQRT((98+101.325)/101.325-1))*D64/C64</f>
        <v>23.375847636355193</v>
      </c>
      <c r="AD64" s="71">
        <f aca="true" t="shared" si="114" ref="AD64:AD69">D64*98/98*1.634*1+1.9*POWER(C64/1500,2.36)</f>
        <v>53.86482473372638</v>
      </c>
      <c r="AE64" s="68">
        <v>75</v>
      </c>
      <c r="AF64" s="91">
        <v>2</v>
      </c>
    </row>
    <row r="65" spans="1:32" ht="45" customHeight="1">
      <c r="A65" s="139"/>
      <c r="B65" s="51"/>
      <c r="C65" s="51">
        <v>1680</v>
      </c>
      <c r="D65" s="77">
        <f aca="true" t="shared" si="115" ref="D65:D70">PI()/2*0.526*POWER(0.252,2)*0.41*C65</f>
        <v>36.14097304837597</v>
      </c>
      <c r="E65" s="72">
        <f aca="true" t="shared" si="116" ref="E65:E70">(C65-400*SQRT((19.6+101.325)/101.325-1))*D65/C65</f>
        <v>32.356370475600094</v>
      </c>
      <c r="F65" s="63">
        <f aca="true" t="shared" si="117" ref="F65:F70">D65*19.6/98*1.634*1+1.9*POWER(C65/1500,2.36)</f>
        <v>14.29347790028898</v>
      </c>
      <c r="G65" s="59">
        <v>18.5</v>
      </c>
      <c r="H65" s="72">
        <f aca="true" t="shared" si="118" ref="H65:H70">(C65-400*SQRT((29.4+101.325)/101.325-1))*D65/C65</f>
        <v>31.505800457113306</v>
      </c>
      <c r="I65" s="63">
        <f aca="true" t="shared" si="119" ref="I65:I70">D65*29.4/98*1.634*1+1.9*POWER(C65/1500,2.36)</f>
        <v>20.198912896393608</v>
      </c>
      <c r="J65" s="51">
        <v>30</v>
      </c>
      <c r="K65" s="63">
        <f aca="true" t="shared" si="120" ref="K65:K70">(C65-400*SQRT((39.2+101.325)/101.325-1))*D65/C65</f>
        <v>30.78873676176422</v>
      </c>
      <c r="L65" s="63">
        <f aca="true" t="shared" si="121" ref="L65:L70">D65*39.2/98*1.634*1+1.9*POWER(C65/1500,2.36)</f>
        <v>26.10434789249825</v>
      </c>
      <c r="M65" s="51">
        <v>30</v>
      </c>
      <c r="N65" s="63">
        <f aca="true" t="shared" si="122" ref="N65:N70">(C65-400*SQRT((49+101.325)/101.325-1))*D65/C65</f>
        <v>30.156990964123512</v>
      </c>
      <c r="O65" s="63">
        <f aca="true" t="shared" si="123" ref="O65:O70">D65*49/98*1.634*1+1.9*POWER(C65/1500,2.36)</f>
        <v>32.00978288860288</v>
      </c>
      <c r="P65" s="51">
        <v>37</v>
      </c>
      <c r="Q65" s="63">
        <f aca="true" t="shared" si="124" ref="Q65:Q70">(C65-400*SQRT((58.8+101.325)/101.325-1))*D65/C65</f>
        <v>29.585849105872267</v>
      </c>
      <c r="R65" s="63">
        <f aca="true" t="shared" si="125" ref="R65:R70">D65*58.8/98*1.634*1+1.9*POWER(C65/1500,2.36)</f>
        <v>37.9152178847075</v>
      </c>
      <c r="S65" s="51">
        <v>45</v>
      </c>
      <c r="T65" s="63">
        <f aca="true" t="shared" si="126" ref="T65:T70">(C65-400*SQRT((68.6+101.325)/101.325-1))*D65/C65</f>
        <v>29.060629962160714</v>
      </c>
      <c r="U65" s="63">
        <f aca="true" t="shared" si="127" ref="U65:U70">D65*68.6/98*1.634*1+1.9*POWER(C65/1500,2.36)</f>
        <v>43.82065288081214</v>
      </c>
      <c r="V65" s="51">
        <v>55</v>
      </c>
      <c r="W65" s="63">
        <f aca="true" t="shared" si="128" ref="W65:W70">(C65-400*SQRT((78.4+101.325)/101.325-1))*D65/C65</f>
        <v>28.57176790282422</v>
      </c>
      <c r="X65" s="63">
        <f aca="true" t="shared" si="129" ref="X65:X70">D65*78.4/98*1.634*1+1.9*POWER(C65/1500,2.36)</f>
        <v>49.726087876916786</v>
      </c>
      <c r="Y65" s="51">
        <v>75</v>
      </c>
      <c r="Z65" s="63">
        <f aca="true" t="shared" si="130" ref="Z65:Z70">(C65-400*SQRT((88.2+101.325)/101.325-1))*D65/C65</f>
        <v>28.112618618458345</v>
      </c>
      <c r="AA65" s="63">
        <f aca="true" t="shared" si="131" ref="AA65:AA70">D65*88.2/98*1.634*1+1.9*POWER(C65/1500,2.36)</f>
        <v>55.6315228730214</v>
      </c>
      <c r="AB65" s="51">
        <v>75</v>
      </c>
      <c r="AC65" s="63">
        <f t="shared" si="113"/>
        <v>27.678344427828524</v>
      </c>
      <c r="AD65" s="63">
        <f t="shared" si="114"/>
        <v>61.53695786912604</v>
      </c>
      <c r="AE65" s="51">
        <v>75</v>
      </c>
      <c r="AF65" s="78">
        <v>2</v>
      </c>
    </row>
    <row r="66" spans="1:32" ht="45" customHeight="1">
      <c r="A66" s="139"/>
      <c r="B66" s="51"/>
      <c r="C66" s="51">
        <v>1880</v>
      </c>
      <c r="D66" s="77">
        <f t="shared" si="115"/>
        <v>40.44346983984929</v>
      </c>
      <c r="E66" s="72">
        <f t="shared" si="116"/>
        <v>36.65886726707342</v>
      </c>
      <c r="F66" s="63">
        <f t="shared" si="117"/>
        <v>16.454284135715906</v>
      </c>
      <c r="G66" s="59">
        <v>22</v>
      </c>
      <c r="H66" s="72">
        <f t="shared" si="118"/>
        <v>35.80829724858663</v>
      </c>
      <c r="I66" s="63">
        <f t="shared" si="119"/>
        <v>23.062747107547274</v>
      </c>
      <c r="J66" s="51">
        <v>30</v>
      </c>
      <c r="K66" s="63">
        <f t="shared" si="120"/>
        <v>35.091233553237544</v>
      </c>
      <c r="L66" s="63">
        <f t="shared" si="121"/>
        <v>29.671210079378653</v>
      </c>
      <c r="M66" s="51">
        <v>37</v>
      </c>
      <c r="N66" s="63">
        <f t="shared" si="122"/>
        <v>34.45948775559683</v>
      </c>
      <c r="O66" s="63">
        <f t="shared" si="123"/>
        <v>36.279673051210025</v>
      </c>
      <c r="P66" s="51">
        <v>45</v>
      </c>
      <c r="Q66" s="63">
        <f t="shared" si="124"/>
        <v>33.88834589734559</v>
      </c>
      <c r="R66" s="63">
        <f t="shared" si="125"/>
        <v>42.8881360230414</v>
      </c>
      <c r="S66" s="51">
        <v>55</v>
      </c>
      <c r="T66" s="63">
        <f t="shared" si="126"/>
        <v>33.363126753634035</v>
      </c>
      <c r="U66" s="63">
        <f t="shared" si="127"/>
        <v>49.49659899487277</v>
      </c>
      <c r="V66" s="51">
        <v>75</v>
      </c>
      <c r="W66" s="63">
        <f t="shared" si="128"/>
        <v>32.874264694297544</v>
      </c>
      <c r="X66" s="63">
        <f t="shared" si="129"/>
        <v>56.105061966704156</v>
      </c>
      <c r="Y66" s="51">
        <v>75</v>
      </c>
      <c r="Z66" s="63">
        <f t="shared" si="130"/>
        <v>32.41511540993167</v>
      </c>
      <c r="AA66" s="63">
        <f t="shared" si="131"/>
        <v>62.713524938535535</v>
      </c>
      <c r="AB66" s="51">
        <v>75</v>
      </c>
      <c r="AC66" s="63">
        <f t="shared" si="113"/>
        <v>31.980841219301848</v>
      </c>
      <c r="AD66" s="63">
        <f t="shared" si="114"/>
        <v>69.32198791036689</v>
      </c>
      <c r="AE66" s="51">
        <v>90</v>
      </c>
      <c r="AF66" s="78">
        <v>2</v>
      </c>
    </row>
    <row r="67" spans="1:32" ht="45" customHeight="1">
      <c r="A67" s="139"/>
      <c r="B67" s="51">
        <v>200</v>
      </c>
      <c r="C67" s="51">
        <v>2120</v>
      </c>
      <c r="D67" s="77">
        <f t="shared" si="115"/>
        <v>45.60646598961729</v>
      </c>
      <c r="E67" s="72">
        <f t="shared" si="116"/>
        <v>41.82186341684142</v>
      </c>
      <c r="F67" s="63">
        <f t="shared" si="117"/>
        <v>19.202830965009582</v>
      </c>
      <c r="G67" s="59">
        <v>22</v>
      </c>
      <c r="H67" s="72">
        <f t="shared" si="118"/>
        <v>40.97129339835463</v>
      </c>
      <c r="I67" s="63">
        <f t="shared" si="119"/>
        <v>26.654927507713044</v>
      </c>
      <c r="J67" s="51">
        <v>30</v>
      </c>
      <c r="K67" s="63">
        <f t="shared" si="120"/>
        <v>40.25422970300554</v>
      </c>
      <c r="L67" s="63">
        <f t="shared" si="121"/>
        <v>34.10702405041651</v>
      </c>
      <c r="M67" s="51">
        <v>45</v>
      </c>
      <c r="N67" s="63">
        <f t="shared" si="122"/>
        <v>39.62248390536484</v>
      </c>
      <c r="O67" s="63">
        <f t="shared" si="123"/>
        <v>41.55912059311998</v>
      </c>
      <c r="P67" s="51">
        <v>55</v>
      </c>
      <c r="Q67" s="63">
        <f t="shared" si="124"/>
        <v>39.05134204711359</v>
      </c>
      <c r="R67" s="63">
        <f t="shared" si="125"/>
        <v>49.011217135823436</v>
      </c>
      <c r="S67" s="51">
        <v>55</v>
      </c>
      <c r="T67" s="63">
        <f t="shared" si="126"/>
        <v>38.52612290340204</v>
      </c>
      <c r="U67" s="63">
        <f t="shared" si="127"/>
        <v>56.463313678526895</v>
      </c>
      <c r="V67" s="51">
        <v>75</v>
      </c>
      <c r="W67" s="63">
        <f t="shared" si="128"/>
        <v>38.03726084406554</v>
      </c>
      <c r="X67" s="63">
        <f t="shared" si="129"/>
        <v>63.915410221230374</v>
      </c>
      <c r="Y67" s="51">
        <v>75</v>
      </c>
      <c r="Z67" s="63">
        <f t="shared" si="130"/>
        <v>37.578111559699664</v>
      </c>
      <c r="AA67" s="63">
        <f t="shared" si="131"/>
        <v>71.36750676393385</v>
      </c>
      <c r="AB67" s="51">
        <v>90</v>
      </c>
      <c r="AC67" s="63">
        <f t="shared" si="113"/>
        <v>37.14383736906984</v>
      </c>
      <c r="AD67" s="63">
        <f t="shared" si="114"/>
        <v>78.8196033066373</v>
      </c>
      <c r="AE67" s="51">
        <v>90</v>
      </c>
      <c r="AF67" s="78">
        <v>2</v>
      </c>
    </row>
    <row r="68" spans="1:32" ht="45" customHeight="1">
      <c r="A68" s="139"/>
      <c r="B68" s="51"/>
      <c r="C68" s="51">
        <v>2370</v>
      </c>
      <c r="D68" s="77">
        <f t="shared" si="115"/>
        <v>50.98458697895895</v>
      </c>
      <c r="E68" s="72">
        <f t="shared" si="116"/>
        <v>47.19998440618308</v>
      </c>
      <c r="F68" s="63">
        <f t="shared" si="117"/>
        <v>22.253984026343495</v>
      </c>
      <c r="G68" s="59">
        <v>30</v>
      </c>
      <c r="H68" s="72">
        <f t="shared" si="118"/>
        <v>46.349414387696285</v>
      </c>
      <c r="I68" s="63">
        <f t="shared" si="119"/>
        <v>30.584865538705387</v>
      </c>
      <c r="J68" s="51">
        <v>37</v>
      </c>
      <c r="K68" s="63">
        <f t="shared" si="120"/>
        <v>45.6323506923472</v>
      </c>
      <c r="L68" s="63">
        <f t="shared" si="121"/>
        <v>38.91574705106728</v>
      </c>
      <c r="M68" s="51">
        <v>45</v>
      </c>
      <c r="N68" s="63">
        <f t="shared" si="122"/>
        <v>45.0006048947065</v>
      </c>
      <c r="O68" s="63">
        <f t="shared" si="123"/>
        <v>47.24662856342917</v>
      </c>
      <c r="P68" s="51">
        <v>55</v>
      </c>
      <c r="Q68" s="63">
        <f t="shared" si="124"/>
        <v>44.429463036455246</v>
      </c>
      <c r="R68" s="63">
        <f t="shared" si="125"/>
        <v>55.57751007579106</v>
      </c>
      <c r="S68" s="51">
        <v>75</v>
      </c>
      <c r="T68" s="63">
        <f t="shared" si="126"/>
        <v>43.90424389274369</v>
      </c>
      <c r="U68" s="63">
        <f t="shared" si="127"/>
        <v>63.90839158815295</v>
      </c>
      <c r="V68" s="51">
        <v>75</v>
      </c>
      <c r="W68" s="63">
        <f t="shared" si="128"/>
        <v>43.4153818334072</v>
      </c>
      <c r="X68" s="63">
        <f t="shared" si="129"/>
        <v>72.23927310051485</v>
      </c>
      <c r="Y68" s="51">
        <v>90</v>
      </c>
      <c r="Z68" s="63">
        <f t="shared" si="130"/>
        <v>42.956232549041324</v>
      </c>
      <c r="AA68" s="63">
        <f t="shared" si="131"/>
        <v>80.57015461287673</v>
      </c>
      <c r="AB68" s="51">
        <v>90</v>
      </c>
      <c r="AC68" s="63">
        <f t="shared" si="113"/>
        <v>42.5219583584115</v>
      </c>
      <c r="AD68" s="63">
        <f t="shared" si="114"/>
        <v>88.90103612523863</v>
      </c>
      <c r="AE68" s="51">
        <v>110</v>
      </c>
      <c r="AF68" s="78">
        <v>2</v>
      </c>
    </row>
    <row r="69" spans="1:32" ht="45" customHeight="1">
      <c r="A69" s="139"/>
      <c r="B69" s="51"/>
      <c r="C69" s="51">
        <v>2650</v>
      </c>
      <c r="D69" s="77">
        <f t="shared" si="115"/>
        <v>57.00808248702161</v>
      </c>
      <c r="E69" s="72">
        <f t="shared" si="116"/>
        <v>53.22347991424573</v>
      </c>
      <c r="F69" s="63">
        <f t="shared" si="117"/>
        <v>25.908684471210144</v>
      </c>
      <c r="G69" s="59">
        <v>30</v>
      </c>
      <c r="H69" s="72">
        <f t="shared" si="118"/>
        <v>52.372909895758944</v>
      </c>
      <c r="I69" s="63">
        <f t="shared" si="119"/>
        <v>35.22380514958947</v>
      </c>
      <c r="J69" s="51">
        <v>45</v>
      </c>
      <c r="K69" s="63">
        <f t="shared" si="120"/>
        <v>51.65584620040986</v>
      </c>
      <c r="L69" s="63">
        <f t="shared" si="121"/>
        <v>44.538925827968804</v>
      </c>
      <c r="M69" s="51">
        <v>55</v>
      </c>
      <c r="N69" s="63">
        <f t="shared" si="122"/>
        <v>51.02410040276916</v>
      </c>
      <c r="O69" s="63">
        <f t="shared" si="123"/>
        <v>53.854046506348126</v>
      </c>
      <c r="P69" s="51">
        <v>75</v>
      </c>
      <c r="Q69" s="63">
        <f t="shared" si="124"/>
        <v>50.452958544517905</v>
      </c>
      <c r="R69" s="63">
        <f t="shared" si="125"/>
        <v>63.169167184727456</v>
      </c>
      <c r="S69" s="51">
        <v>75</v>
      </c>
      <c r="T69" s="63">
        <f t="shared" si="126"/>
        <v>49.92773940080636</v>
      </c>
      <c r="U69" s="63">
        <f t="shared" si="127"/>
        <v>72.48428786310679</v>
      </c>
      <c r="V69" s="51">
        <v>90</v>
      </c>
      <c r="W69" s="63">
        <f t="shared" si="128"/>
        <v>49.43887734146986</v>
      </c>
      <c r="X69" s="63">
        <f t="shared" si="129"/>
        <v>81.79940854148613</v>
      </c>
      <c r="Y69" s="51">
        <v>90</v>
      </c>
      <c r="Z69" s="63">
        <f t="shared" si="130"/>
        <v>48.97972805710398</v>
      </c>
      <c r="AA69" s="63">
        <f t="shared" si="131"/>
        <v>91.11452921986546</v>
      </c>
      <c r="AB69" s="51">
        <v>110</v>
      </c>
      <c r="AC69" s="63">
        <f t="shared" si="113"/>
        <v>48.54545386647417</v>
      </c>
      <c r="AD69" s="63">
        <f t="shared" si="114"/>
        <v>100.42964989824478</v>
      </c>
      <c r="AE69" s="51">
        <v>110</v>
      </c>
      <c r="AF69" s="78">
        <v>2</v>
      </c>
    </row>
    <row r="70" spans="1:32" ht="45" customHeight="1">
      <c r="A70" s="142"/>
      <c r="B70" s="64"/>
      <c r="C70" s="64">
        <v>2800</v>
      </c>
      <c r="D70" s="90">
        <f t="shared" si="115"/>
        <v>60.23495508062661</v>
      </c>
      <c r="E70" s="73">
        <f t="shared" si="116"/>
        <v>56.45035250785074</v>
      </c>
      <c r="F70" s="75">
        <f t="shared" si="117"/>
        <v>27.97319250956926</v>
      </c>
      <c r="G70" s="74">
        <v>37</v>
      </c>
      <c r="H70" s="73">
        <f t="shared" si="118"/>
        <v>55.599782489363946</v>
      </c>
      <c r="I70" s="75">
        <f t="shared" si="119"/>
        <v>37.815584169743644</v>
      </c>
      <c r="J70" s="64">
        <v>45</v>
      </c>
      <c r="K70" s="75">
        <f t="shared" si="120"/>
        <v>54.88271879401486</v>
      </c>
      <c r="L70" s="75">
        <f t="shared" si="121"/>
        <v>47.65797582991804</v>
      </c>
      <c r="M70" s="64">
        <v>55</v>
      </c>
      <c r="N70" s="75">
        <f t="shared" si="122"/>
        <v>54.250972996374166</v>
      </c>
      <c r="O70" s="75">
        <f t="shared" si="123"/>
        <v>57.50036749009242</v>
      </c>
      <c r="P70" s="64">
        <v>75</v>
      </c>
      <c r="Q70" s="75">
        <f t="shared" si="124"/>
        <v>53.67983113812291</v>
      </c>
      <c r="R70" s="75">
        <f t="shared" si="125"/>
        <v>67.3427591502668</v>
      </c>
      <c r="S70" s="64">
        <v>75</v>
      </c>
      <c r="T70" s="75">
        <f t="shared" si="126"/>
        <v>53.154611994411354</v>
      </c>
      <c r="U70" s="75">
        <f t="shared" si="127"/>
        <v>77.18515081044119</v>
      </c>
      <c r="V70" s="64">
        <v>90</v>
      </c>
      <c r="W70" s="75">
        <f t="shared" si="128"/>
        <v>52.665749935074864</v>
      </c>
      <c r="X70" s="75">
        <f t="shared" si="129"/>
        <v>87.02754247061559</v>
      </c>
      <c r="Y70" s="64">
        <v>110</v>
      </c>
      <c r="Z70" s="75">
        <f t="shared" si="130"/>
        <v>52.206600650708985</v>
      </c>
      <c r="AA70" s="75">
        <f t="shared" si="131"/>
        <v>96.86993413078997</v>
      </c>
      <c r="AB70" s="64">
        <v>110</v>
      </c>
      <c r="AC70" s="75"/>
      <c r="AD70" s="93"/>
      <c r="AE70" s="64"/>
      <c r="AF70" s="92">
        <v>2</v>
      </c>
    </row>
    <row r="71" spans="1:32" ht="45" customHeight="1">
      <c r="A71" s="141" t="s">
        <v>33</v>
      </c>
      <c r="B71" s="68"/>
      <c r="C71" s="68">
        <v>1480</v>
      </c>
      <c r="D71" s="60">
        <f>PI()/2*0.526*POWER(0.252,2)*0.56*C71</f>
        <v>43.48669927772068</v>
      </c>
      <c r="E71" s="72">
        <f>(C71-380*SQRT((19.6+101.325)/101.325-1))*D71/C71</f>
        <v>38.57594667109443</v>
      </c>
      <c r="F71" s="63">
        <f>D71*19.6/98*1.634*1+2.6*POWER(C71/1500,2.36)</f>
        <v>16.730380575466192</v>
      </c>
      <c r="G71" s="59">
        <v>22</v>
      </c>
      <c r="H71" s="72">
        <f>(C71-380*SQRT((29.4+101.325)/101.325-1))*D71/C71</f>
        <v>37.472280208082296</v>
      </c>
      <c r="I71" s="63">
        <f aca="true" t="shared" si="132" ref="I71:I77">D71*29.4/98*1.634*1+2.6*POWER(C71/1500,2.36)</f>
        <v>23.836107237445745</v>
      </c>
      <c r="J71" s="51">
        <v>30</v>
      </c>
      <c r="K71" s="63">
        <f>(C71-380*SQRT((39.2+101.325)/101.325-1))*D71/C71</f>
        <v>36.5418463399708</v>
      </c>
      <c r="L71" s="63">
        <f>D71*39.2/98*1.634*1+2.6*POWER(C71/1500,2.36)</f>
        <v>30.94183389942531</v>
      </c>
      <c r="M71" s="51">
        <v>37</v>
      </c>
      <c r="N71" s="63">
        <f>(C71-380*SQRT((49+101.325)/101.325-1))*D71/C71</f>
        <v>35.72211764644676</v>
      </c>
      <c r="O71" s="63">
        <f>D71*49/98*1.634*1+2.6*POWER(C71/1500,2.36)</f>
        <v>38.047560561404865</v>
      </c>
      <c r="P71" s="51">
        <v>45</v>
      </c>
      <c r="Q71" s="63">
        <f>(C71-380*SQRT((58.8+101.325)/101.325-1))*D71/C71</f>
        <v>34.981026259642704</v>
      </c>
      <c r="R71" s="63">
        <f>D71*58.8/98*1.634*1+2.6*POWER(C71/1500,2.36)</f>
        <v>45.15328722338442</v>
      </c>
      <c r="S71" s="51">
        <v>55</v>
      </c>
      <c r="T71" s="63">
        <f aca="true" t="shared" si="133" ref="T71:T76">(C71-380*SQRT((68.6+101.325)/101.325-1))*D71/C71</f>
        <v>34.299522395119425</v>
      </c>
      <c r="U71" s="63">
        <f aca="true" t="shared" si="134" ref="U71:U76">D71*68.6/98*1.634*1+2.6*POWER(C71/1500,2.36)</f>
        <v>52.259013885363984</v>
      </c>
      <c r="V71" s="51">
        <v>75</v>
      </c>
      <c r="W71" s="63"/>
      <c r="X71" s="63"/>
      <c r="Y71" s="51"/>
      <c r="Z71" s="63"/>
      <c r="AA71" s="63"/>
      <c r="AB71" s="51"/>
      <c r="AC71" s="63"/>
      <c r="AD71" s="63"/>
      <c r="AE71" s="51"/>
      <c r="AF71" s="61">
        <v>2</v>
      </c>
    </row>
    <row r="72" spans="1:32" ht="45" customHeight="1">
      <c r="A72" s="139"/>
      <c r="B72" s="51"/>
      <c r="C72" s="51">
        <v>1680</v>
      </c>
      <c r="D72" s="52">
        <f aca="true" t="shared" si="135" ref="D72:D77">PI()/2*0.526*POWER(0.252,2)*0.56*C72</f>
        <v>49.36328026119645</v>
      </c>
      <c r="E72" s="72">
        <f aca="true" t="shared" si="136" ref="E72:E77">(C72-380*SQRT((19.6+101.325)/101.325-1))*D72/C72</f>
        <v>44.45252765457019</v>
      </c>
      <c r="F72" s="63">
        <f aca="true" t="shared" si="137" ref="F72:F77">D72*19.6/98*1.634*1+2.6*POWER(C72/1500,2.36)</f>
        <v>19.529172916204924</v>
      </c>
      <c r="G72" s="59">
        <v>30</v>
      </c>
      <c r="H72" s="72">
        <f aca="true" t="shared" si="138" ref="H72:H77">(C72-380*SQRT((29.4+101.325)/101.325-1))*D72/C72</f>
        <v>43.348861191558065</v>
      </c>
      <c r="I72" s="63">
        <f t="shared" si="132"/>
        <v>27.59513291088442</v>
      </c>
      <c r="J72" s="51">
        <v>37</v>
      </c>
      <c r="K72" s="63">
        <f aca="true" t="shared" si="139" ref="K72:K77">(C72-380*SQRT((39.2+101.325)/101.325-1))*D72/C72</f>
        <v>42.41842732344657</v>
      </c>
      <c r="L72" s="63">
        <f aca="true" t="shared" si="140" ref="L72:L77">D72*39.2/98*1.634*1+2.6*POWER(C72/1500,2.36)</f>
        <v>35.661092905563926</v>
      </c>
      <c r="M72" s="51">
        <v>45</v>
      </c>
      <c r="N72" s="63">
        <f aca="true" t="shared" si="141" ref="N72:N77">(C72-380*SQRT((49+101.325)/101.325-1))*D72/C72</f>
        <v>41.59869862992253</v>
      </c>
      <c r="O72" s="63">
        <f aca="true" t="shared" si="142" ref="O72:O77">D72*49/98*1.634*1+2.6*POWER(C72/1500,2.36)</f>
        <v>43.72705290024342</v>
      </c>
      <c r="P72" s="51">
        <v>55</v>
      </c>
      <c r="Q72" s="63">
        <f aca="true" t="shared" si="143" ref="Q72:Q77">(C72-380*SQRT((58.8+101.325)/101.325-1))*D72/C72</f>
        <v>40.85760724311847</v>
      </c>
      <c r="R72" s="63">
        <f aca="true" t="shared" si="144" ref="R72:R77">D72*58.8/98*1.634*1+2.6*POWER(C72/1500,2.36)</f>
        <v>51.79301289492292</v>
      </c>
      <c r="S72" s="51">
        <v>75</v>
      </c>
      <c r="T72" s="63">
        <f t="shared" si="133"/>
        <v>40.176103378595194</v>
      </c>
      <c r="U72" s="63">
        <f t="shared" si="134"/>
        <v>59.85897288960241</v>
      </c>
      <c r="V72" s="51">
        <v>75</v>
      </c>
      <c r="W72" s="63"/>
      <c r="X72" s="63"/>
      <c r="Y72" s="51"/>
      <c r="Z72" s="63"/>
      <c r="AA72" s="63"/>
      <c r="AB72" s="51"/>
      <c r="AC72" s="63"/>
      <c r="AD72" s="63"/>
      <c r="AE72" s="51"/>
      <c r="AF72" s="62">
        <v>2</v>
      </c>
    </row>
    <row r="73" spans="1:32" ht="45" customHeight="1">
      <c r="A73" s="139"/>
      <c r="B73" s="51"/>
      <c r="C73" s="51">
        <v>1880</v>
      </c>
      <c r="D73" s="52">
        <f t="shared" si="135"/>
        <v>55.23986124467222</v>
      </c>
      <c r="E73" s="72">
        <f t="shared" si="136"/>
        <v>50.32910863804596</v>
      </c>
      <c r="F73" s="63">
        <f t="shared" si="137"/>
        <v>22.482455759673726</v>
      </c>
      <c r="G73" s="59">
        <v>30</v>
      </c>
      <c r="H73" s="72">
        <f t="shared" si="138"/>
        <v>49.22544217503383</v>
      </c>
      <c r="I73" s="63">
        <f t="shared" si="132"/>
        <v>31.508649087053165</v>
      </c>
      <c r="J73" s="51">
        <v>37</v>
      </c>
      <c r="K73" s="63">
        <f t="shared" si="139"/>
        <v>48.29500830692234</v>
      </c>
      <c r="L73" s="63">
        <f t="shared" si="140"/>
        <v>40.5348424144326</v>
      </c>
      <c r="M73" s="51">
        <v>45</v>
      </c>
      <c r="N73" s="63">
        <f t="shared" si="141"/>
        <v>47.4752796133983</v>
      </c>
      <c r="O73" s="63">
        <f t="shared" si="142"/>
        <v>49.56103574181204</v>
      </c>
      <c r="P73" s="51">
        <v>55</v>
      </c>
      <c r="Q73" s="63">
        <f t="shared" si="143"/>
        <v>46.73418822659424</v>
      </c>
      <c r="R73" s="63">
        <f t="shared" si="144"/>
        <v>58.58722906919148</v>
      </c>
      <c r="S73" s="51">
        <v>75</v>
      </c>
      <c r="T73" s="63">
        <f t="shared" si="133"/>
        <v>46.05268436207096</v>
      </c>
      <c r="U73" s="63">
        <f t="shared" si="134"/>
        <v>67.61342239657093</v>
      </c>
      <c r="V73" s="51">
        <v>75</v>
      </c>
      <c r="W73" s="63"/>
      <c r="X73" s="63"/>
      <c r="Y73" s="51"/>
      <c r="Z73" s="63"/>
      <c r="AA73" s="63"/>
      <c r="AB73" s="51"/>
      <c r="AC73" s="63"/>
      <c r="AD73" s="63"/>
      <c r="AE73" s="51"/>
      <c r="AF73" s="62">
        <v>2</v>
      </c>
    </row>
    <row r="74" spans="1:32" ht="45" customHeight="1">
      <c r="A74" s="139"/>
      <c r="B74" s="51">
        <v>200</v>
      </c>
      <c r="C74" s="51">
        <v>2120</v>
      </c>
      <c r="D74" s="52">
        <f t="shared" si="135"/>
        <v>62.291758424843145</v>
      </c>
      <c r="E74" s="72">
        <f t="shared" si="136"/>
        <v>57.381005818216885</v>
      </c>
      <c r="F74" s="63">
        <f t="shared" si="137"/>
        <v>26.23929322532658</v>
      </c>
      <c r="G74" s="59">
        <v>30</v>
      </c>
      <c r="H74" s="72">
        <f t="shared" si="138"/>
        <v>56.27733935520476</v>
      </c>
      <c r="I74" s="63">
        <f t="shared" si="132"/>
        <v>36.417766551945945</v>
      </c>
      <c r="J74" s="51">
        <v>45</v>
      </c>
      <c r="K74" s="63">
        <f t="shared" si="139"/>
        <v>55.34690548709327</v>
      </c>
      <c r="L74" s="63">
        <f t="shared" si="140"/>
        <v>46.59623987856532</v>
      </c>
      <c r="M74" s="51">
        <v>55</v>
      </c>
      <c r="N74" s="63">
        <f t="shared" si="141"/>
        <v>54.52717679356922</v>
      </c>
      <c r="O74" s="63">
        <f t="shared" si="142"/>
        <v>56.774713205184696</v>
      </c>
      <c r="P74" s="51">
        <v>75</v>
      </c>
      <c r="Q74" s="63">
        <f t="shared" si="143"/>
        <v>53.78608540676517</v>
      </c>
      <c r="R74" s="63">
        <f t="shared" si="144"/>
        <v>66.95318653180405</v>
      </c>
      <c r="S74" s="51">
        <v>75</v>
      </c>
      <c r="T74" s="63">
        <f t="shared" si="133"/>
        <v>53.10458154224188</v>
      </c>
      <c r="U74" s="63">
        <f t="shared" si="134"/>
        <v>77.13165985842343</v>
      </c>
      <c r="V74" s="51">
        <v>90</v>
      </c>
      <c r="W74" s="63"/>
      <c r="X74" s="63"/>
      <c r="Y74" s="51"/>
      <c r="Z74" s="63"/>
      <c r="AA74" s="63"/>
      <c r="AB74" s="51"/>
      <c r="AC74" s="63"/>
      <c r="AD74" s="63"/>
      <c r="AE74" s="51"/>
      <c r="AF74" s="62">
        <v>2</v>
      </c>
    </row>
    <row r="75" spans="1:32" ht="45" customHeight="1">
      <c r="A75" s="139"/>
      <c r="B75" s="51"/>
      <c r="C75" s="51">
        <v>2370</v>
      </c>
      <c r="D75" s="52">
        <f t="shared" si="135"/>
        <v>69.63748465418786</v>
      </c>
      <c r="E75" s="72">
        <f t="shared" si="136"/>
        <v>64.72673204756161</v>
      </c>
      <c r="F75" s="63">
        <f t="shared" si="137"/>
        <v>30.410042934573458</v>
      </c>
      <c r="G75" s="59">
        <v>37</v>
      </c>
      <c r="H75" s="72">
        <f t="shared" si="138"/>
        <v>63.62306558454947</v>
      </c>
      <c r="I75" s="63">
        <f t="shared" si="132"/>
        <v>41.78880792706775</v>
      </c>
      <c r="J75" s="51">
        <v>55</v>
      </c>
      <c r="K75" s="63">
        <f t="shared" si="139"/>
        <v>62.69263171643798</v>
      </c>
      <c r="L75" s="63">
        <f t="shared" si="140"/>
        <v>53.16757291956205</v>
      </c>
      <c r="M75" s="51">
        <v>75</v>
      </c>
      <c r="N75" s="63">
        <f t="shared" si="141"/>
        <v>61.872903022913945</v>
      </c>
      <c r="O75" s="63">
        <f t="shared" si="142"/>
        <v>64.54633791205634</v>
      </c>
      <c r="P75" s="51">
        <v>75</v>
      </c>
      <c r="Q75" s="63">
        <f t="shared" si="143"/>
        <v>61.13181163610989</v>
      </c>
      <c r="R75" s="63">
        <f t="shared" si="144"/>
        <v>75.92510290455064</v>
      </c>
      <c r="S75" s="51">
        <v>90</v>
      </c>
      <c r="T75" s="63">
        <f t="shared" si="133"/>
        <v>60.4503077715866</v>
      </c>
      <c r="U75" s="63">
        <f t="shared" si="134"/>
        <v>87.30386789704491</v>
      </c>
      <c r="V75" s="51">
        <v>110</v>
      </c>
      <c r="W75" s="63"/>
      <c r="X75" s="63"/>
      <c r="Y75" s="51"/>
      <c r="Z75" s="63"/>
      <c r="AA75" s="63"/>
      <c r="AB75" s="51"/>
      <c r="AC75" s="63"/>
      <c r="AD75" s="63"/>
      <c r="AE75" s="51"/>
      <c r="AF75" s="62">
        <v>2</v>
      </c>
    </row>
    <row r="76" spans="1:32" ht="45" customHeight="1">
      <c r="A76" s="139"/>
      <c r="B76" s="51"/>
      <c r="C76" s="51">
        <v>2650</v>
      </c>
      <c r="D76" s="52">
        <f t="shared" si="135"/>
        <v>77.86469803105393</v>
      </c>
      <c r="E76" s="72">
        <f t="shared" si="136"/>
        <v>72.95394542442769</v>
      </c>
      <c r="F76" s="63">
        <f t="shared" si="137"/>
        <v>35.40615810474519</v>
      </c>
      <c r="G76" s="59">
        <v>45</v>
      </c>
      <c r="H76" s="72">
        <f t="shared" si="138"/>
        <v>71.85027896141555</v>
      </c>
      <c r="I76" s="63">
        <f t="shared" si="132"/>
        <v>48.1292497630194</v>
      </c>
      <c r="J76" s="51">
        <v>55</v>
      </c>
      <c r="K76" s="63">
        <f t="shared" si="139"/>
        <v>70.91984509330405</v>
      </c>
      <c r="L76" s="63">
        <f t="shared" si="140"/>
        <v>60.852341421293616</v>
      </c>
      <c r="M76" s="51">
        <v>75</v>
      </c>
      <c r="N76" s="63">
        <f t="shared" si="141"/>
        <v>70.10011639978002</v>
      </c>
      <c r="O76" s="63">
        <f t="shared" si="142"/>
        <v>73.57543307956783</v>
      </c>
      <c r="P76" s="51">
        <v>90</v>
      </c>
      <c r="Q76" s="63">
        <f t="shared" si="143"/>
        <v>69.35902501297595</v>
      </c>
      <c r="R76" s="63">
        <f t="shared" si="144"/>
        <v>86.29852473784204</v>
      </c>
      <c r="S76" s="51">
        <v>110</v>
      </c>
      <c r="T76" s="63">
        <f t="shared" si="133"/>
        <v>68.67752114845267</v>
      </c>
      <c r="U76" s="63">
        <f t="shared" si="134"/>
        <v>99.02161639611623</v>
      </c>
      <c r="V76" s="51">
        <v>110</v>
      </c>
      <c r="W76" s="63"/>
      <c r="X76" s="63"/>
      <c r="Y76" s="51"/>
      <c r="Z76" s="63"/>
      <c r="AA76" s="63"/>
      <c r="AB76" s="51"/>
      <c r="AC76" s="63"/>
      <c r="AD76" s="63"/>
      <c r="AE76" s="51"/>
      <c r="AF76" s="62">
        <v>2</v>
      </c>
    </row>
    <row r="77" spans="1:32" ht="45" customHeight="1" thickBot="1">
      <c r="A77" s="152"/>
      <c r="B77" s="47"/>
      <c r="C77" s="64">
        <v>2800</v>
      </c>
      <c r="D77" s="94">
        <f t="shared" si="135"/>
        <v>82.27213376866075</v>
      </c>
      <c r="E77" s="95">
        <f t="shared" si="136"/>
        <v>77.3613811620345</v>
      </c>
      <c r="F77" s="96">
        <f t="shared" si="137"/>
        <v>38.22856694295268</v>
      </c>
      <c r="G77" s="97">
        <v>45</v>
      </c>
      <c r="H77" s="95">
        <f t="shared" si="138"/>
        <v>76.25771469902237</v>
      </c>
      <c r="I77" s="96">
        <f t="shared" si="132"/>
        <v>51.67183360075184</v>
      </c>
      <c r="J77" s="47">
        <v>75</v>
      </c>
      <c r="K77" s="96">
        <f t="shared" si="139"/>
        <v>75.32728083091087</v>
      </c>
      <c r="L77" s="96">
        <f t="shared" si="140"/>
        <v>65.11510025855102</v>
      </c>
      <c r="M77" s="47">
        <v>75</v>
      </c>
      <c r="N77" s="96">
        <f t="shared" si="141"/>
        <v>74.50755213738684</v>
      </c>
      <c r="O77" s="96">
        <f t="shared" si="142"/>
        <v>78.55836691635017</v>
      </c>
      <c r="P77" s="47">
        <v>90</v>
      </c>
      <c r="Q77" s="96">
        <f t="shared" si="143"/>
        <v>73.76646075058278</v>
      </c>
      <c r="R77" s="96">
        <f t="shared" si="144"/>
        <v>92.00163357414934</v>
      </c>
      <c r="S77" s="47">
        <v>110</v>
      </c>
      <c r="T77" s="96"/>
      <c r="U77" s="98"/>
      <c r="V77" s="47"/>
      <c r="W77" s="96"/>
      <c r="X77" s="96"/>
      <c r="Y77" s="47"/>
      <c r="Z77" s="96"/>
      <c r="AA77" s="96"/>
      <c r="AB77" s="47"/>
      <c r="AC77" s="96"/>
      <c r="AD77" s="96"/>
      <c r="AE77" s="47"/>
      <c r="AF77" s="99">
        <v>2</v>
      </c>
    </row>
    <row r="78" spans="1:32" ht="45" customHeight="1">
      <c r="A78" s="80"/>
      <c r="B78" s="80"/>
      <c r="C78" s="80"/>
      <c r="D78" s="81"/>
      <c r="E78" s="81"/>
      <c r="F78" s="81"/>
      <c r="G78" s="81"/>
      <c r="H78" s="100"/>
      <c r="I78" s="101"/>
      <c r="J78" s="80"/>
      <c r="K78" s="101"/>
      <c r="L78" s="101"/>
      <c r="M78" s="80"/>
      <c r="N78" s="101"/>
      <c r="O78" s="101"/>
      <c r="P78" s="80"/>
      <c r="Q78" s="101"/>
      <c r="R78" s="101"/>
      <c r="S78" s="80"/>
      <c r="T78" s="101"/>
      <c r="U78" s="101"/>
      <c r="V78" s="80"/>
      <c r="W78" s="101"/>
      <c r="X78" s="101"/>
      <c r="Y78" s="80"/>
      <c r="Z78" s="101"/>
      <c r="AA78" s="101"/>
      <c r="AB78" s="80"/>
      <c r="AC78" s="101"/>
      <c r="AD78" s="101"/>
      <c r="AE78" s="80"/>
      <c r="AF78" s="80"/>
    </row>
    <row r="79" spans="1:32" ht="93.75" customHeight="1" thickBot="1">
      <c r="A79" s="135" t="s">
        <v>102</v>
      </c>
      <c r="B79" s="136"/>
      <c r="C79" s="129"/>
      <c r="D79" s="129"/>
      <c r="E79" s="129"/>
      <c r="F79" s="129"/>
      <c r="G79" s="129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</row>
    <row r="80" spans="1:32" ht="45" customHeight="1">
      <c r="A80" s="150" t="s">
        <v>67</v>
      </c>
      <c r="B80" s="161" t="s">
        <v>24</v>
      </c>
      <c r="C80" s="119" t="s">
        <v>68</v>
      </c>
      <c r="D80" s="120" t="s">
        <v>69</v>
      </c>
      <c r="E80" s="143" t="s">
        <v>70</v>
      </c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5"/>
      <c r="AF80" s="121" t="s">
        <v>71</v>
      </c>
    </row>
    <row r="81" spans="1:32" ht="45" customHeight="1">
      <c r="A81" s="139"/>
      <c r="B81" s="162"/>
      <c r="C81" s="51" t="s">
        <v>72</v>
      </c>
      <c r="D81" s="123" t="s">
        <v>12</v>
      </c>
      <c r="E81" s="146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8"/>
      <c r="AF81" s="122" t="s">
        <v>73</v>
      </c>
    </row>
    <row r="82" spans="1:32" ht="45" customHeight="1">
      <c r="A82" s="139" t="s">
        <v>74</v>
      </c>
      <c r="B82" s="51" t="s">
        <v>75</v>
      </c>
      <c r="C82" s="51" t="s">
        <v>76</v>
      </c>
      <c r="D82" s="52" t="s">
        <v>77</v>
      </c>
      <c r="E82" s="137" t="s">
        <v>38</v>
      </c>
      <c r="F82" s="138"/>
      <c r="G82" s="138"/>
      <c r="H82" s="137" t="s">
        <v>78</v>
      </c>
      <c r="I82" s="138"/>
      <c r="J82" s="138"/>
      <c r="K82" s="137" t="s">
        <v>79</v>
      </c>
      <c r="L82" s="138"/>
      <c r="M82" s="138"/>
      <c r="N82" s="137" t="s">
        <v>80</v>
      </c>
      <c r="O82" s="138"/>
      <c r="P82" s="138"/>
      <c r="Q82" s="137" t="s">
        <v>81</v>
      </c>
      <c r="R82" s="138"/>
      <c r="S82" s="138"/>
      <c r="T82" s="137" t="s">
        <v>82</v>
      </c>
      <c r="U82" s="138"/>
      <c r="V82" s="138"/>
      <c r="W82" s="137" t="s">
        <v>83</v>
      </c>
      <c r="X82" s="138"/>
      <c r="Y82" s="138"/>
      <c r="Z82" s="137" t="s">
        <v>84</v>
      </c>
      <c r="AA82" s="138"/>
      <c r="AB82" s="138"/>
      <c r="AC82" s="137" t="s">
        <v>85</v>
      </c>
      <c r="AD82" s="138"/>
      <c r="AE82" s="149"/>
      <c r="AF82" s="151" t="s">
        <v>27</v>
      </c>
    </row>
    <row r="83" spans="1:63" ht="45" customHeight="1">
      <c r="A83" s="140"/>
      <c r="B83" s="53" t="s">
        <v>86</v>
      </c>
      <c r="C83" s="53" t="s">
        <v>87</v>
      </c>
      <c r="D83" s="54" t="s">
        <v>89</v>
      </c>
      <c r="E83" s="86" t="s">
        <v>63</v>
      </c>
      <c r="F83" s="87" t="s">
        <v>64</v>
      </c>
      <c r="G83" s="88" t="s">
        <v>65</v>
      </c>
      <c r="H83" s="86" t="s">
        <v>63</v>
      </c>
      <c r="I83" s="87" t="s">
        <v>64</v>
      </c>
      <c r="J83" s="88" t="s">
        <v>65</v>
      </c>
      <c r="K83" s="86" t="s">
        <v>63</v>
      </c>
      <c r="L83" s="87" t="s">
        <v>64</v>
      </c>
      <c r="M83" s="88" t="s">
        <v>65</v>
      </c>
      <c r="N83" s="86" t="s">
        <v>63</v>
      </c>
      <c r="O83" s="87" t="s">
        <v>64</v>
      </c>
      <c r="P83" s="88" t="s">
        <v>65</v>
      </c>
      <c r="Q83" s="86" t="s">
        <v>63</v>
      </c>
      <c r="R83" s="87" t="s">
        <v>64</v>
      </c>
      <c r="S83" s="88" t="s">
        <v>65</v>
      </c>
      <c r="T83" s="86" t="s">
        <v>63</v>
      </c>
      <c r="U83" s="87" t="s">
        <v>64</v>
      </c>
      <c r="V83" s="88" t="s">
        <v>65</v>
      </c>
      <c r="W83" s="86" t="s">
        <v>63</v>
      </c>
      <c r="X83" s="87" t="s">
        <v>64</v>
      </c>
      <c r="Y83" s="88" t="s">
        <v>65</v>
      </c>
      <c r="Z83" s="86" t="s">
        <v>63</v>
      </c>
      <c r="AA83" s="87" t="s">
        <v>64</v>
      </c>
      <c r="AB83" s="88" t="s">
        <v>65</v>
      </c>
      <c r="AC83" s="86" t="s">
        <v>63</v>
      </c>
      <c r="AD83" s="87" t="s">
        <v>64</v>
      </c>
      <c r="AE83" s="88" t="s">
        <v>65</v>
      </c>
      <c r="AF83" s="151"/>
      <c r="AH83" s="24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</row>
    <row r="84" spans="1:32" ht="45" customHeight="1">
      <c r="A84" s="141" t="s">
        <v>20</v>
      </c>
      <c r="B84" s="132">
        <v>250</v>
      </c>
      <c r="C84" s="68">
        <v>1250</v>
      </c>
      <c r="D84" s="76">
        <f aca="true" t="shared" si="145" ref="D84:D91">PI()/2*0.526*POWER(0.312,2)*0.5*C84</f>
        <v>50.268372722677995</v>
      </c>
      <c r="E84" s="111">
        <f aca="true" t="shared" si="146" ref="E84:E91">(C84-320*SQRT((19.6+101.325)/101.325-1))*D84/C84</f>
        <v>44.60852793710974</v>
      </c>
      <c r="F84" s="71">
        <f aca="true" t="shared" si="147" ref="F84:F91">D84*19.6/98*1.634*1+2.15*POWER(C84/1200,2.36)</f>
        <v>18.795140765029743</v>
      </c>
      <c r="G84" s="112">
        <v>30</v>
      </c>
      <c r="H84" s="111">
        <f aca="true" t="shared" si="148" ref="H84:H91">(C84-320*SQRT((29.4+101.325)/101.325-1))*D84/C84</f>
        <v>43.33650684868085</v>
      </c>
      <c r="I84" s="71">
        <f aca="true" t="shared" si="149" ref="I84:I91">D84*29.4/98*1.634*1+2.15*POWER(C84/1200,2.36)</f>
        <v>27.008992867915325</v>
      </c>
      <c r="J84" s="68">
        <v>37</v>
      </c>
      <c r="K84" s="71">
        <f aca="true" t="shared" si="150" ref="K84:K91">(C84-320*SQRT((39.2+101.325)/101.325-1))*D84/C84</f>
        <v>42.26414346600073</v>
      </c>
      <c r="L84" s="71">
        <f aca="true" t="shared" si="151" ref="L84:L91">D84*39.2/98*1.634*1+2.15*POWER(C84/1200,2.36)</f>
        <v>35.22284497080091</v>
      </c>
      <c r="M84" s="68">
        <v>45</v>
      </c>
      <c r="N84" s="71">
        <f aca="true" t="shared" si="152" ref="N84:N91">(C84-320*SQRT((49+101.325)/101.325-1))*D84/C84</f>
        <v>41.31937235996651</v>
      </c>
      <c r="O84" s="71">
        <f aca="true" t="shared" si="153" ref="O84:O91">D84*49/98*1.634*1+2.15*POWER(C84/1200,2.36)</f>
        <v>43.43669707368649</v>
      </c>
      <c r="P84" s="68">
        <v>55</v>
      </c>
      <c r="Q84" s="71">
        <f aca="true" t="shared" si="154" ref="Q84:Q91">(C84-320*SQRT((58.8+101.325)/101.325-1))*D84/C84</f>
        <v>40.46523399112</v>
      </c>
      <c r="R84" s="71">
        <f aca="true" t="shared" si="155" ref="R84:R91">D84*58.8/98*1.634*1+2.15*POWER(C84/1200,2.36)</f>
        <v>51.65054917657207</v>
      </c>
      <c r="S84" s="68">
        <v>75</v>
      </c>
      <c r="T84" s="71">
        <f aca="true" t="shared" si="156" ref="T84:T91">(C84-320*SQRT((68.6+101.325)/101.325-1))*D84/C84</f>
        <v>39.67977269772028</v>
      </c>
      <c r="U84" s="71">
        <f aca="true" t="shared" si="157" ref="U84:U91">D84*68.6/98*1.634*1+2.15*POWER(C84/1200,2.36)</f>
        <v>59.86440127945765</v>
      </c>
      <c r="V84" s="68">
        <v>75</v>
      </c>
      <c r="W84" s="71">
        <f aca="true" t="shared" si="158" ref="W84:W91">(C84-320*SQRT((78.4+101.325)/101.325-1))*D84/C84</f>
        <v>38.94868315154149</v>
      </c>
      <c r="X84" s="71">
        <f aca="true" t="shared" si="159" ref="X84:X91">D84*78.4/98*1.634*1+2.15*POWER(C84/1200,2.36)</f>
        <v>68.07825338234325</v>
      </c>
      <c r="Y84" s="68">
        <v>90</v>
      </c>
      <c r="Z84" s="71">
        <f aca="true" t="shared" si="160" ref="Z84:Z91">(C84-320*SQRT((88.2+101.325)/101.325-1))*D84/C84</f>
        <v>38.2620288376621</v>
      </c>
      <c r="AA84" s="71">
        <f aca="true" t="shared" si="161" ref="AA84:AA91">D84*88.2/98*1.634*1+2.15*POWER(C84/1200,2.36)</f>
        <v>76.29210548522883</v>
      </c>
      <c r="AB84" s="68">
        <v>90</v>
      </c>
      <c r="AC84" s="71">
        <f aca="true" t="shared" si="162" ref="AC84:AC90">(C84-320*SQRT((98+101.325)/101.325-1))*D84/C84</f>
        <v>37.612575040049656</v>
      </c>
      <c r="AD84" s="71">
        <f aca="true" t="shared" si="163" ref="AD84:AD90">D84*98/98*1.634*1+2.15*POWER(C84/1200,2.36)</f>
        <v>84.50595758811441</v>
      </c>
      <c r="AE84" s="68">
        <v>110</v>
      </c>
      <c r="AF84" s="91">
        <v>4</v>
      </c>
    </row>
    <row r="85" spans="1:32" ht="45" customHeight="1">
      <c r="A85" s="139"/>
      <c r="B85" s="133"/>
      <c r="C85" s="51">
        <v>1420</v>
      </c>
      <c r="D85" s="77">
        <f t="shared" si="145"/>
        <v>57.104871412962204</v>
      </c>
      <c r="E85" s="72">
        <f t="shared" si="146"/>
        <v>51.44502662739395</v>
      </c>
      <c r="F85" s="63">
        <f t="shared" si="147"/>
        <v>21.86055504979783</v>
      </c>
      <c r="G85" s="102">
        <v>30</v>
      </c>
      <c r="H85" s="72">
        <f t="shared" si="148"/>
        <v>50.17300553896506</v>
      </c>
      <c r="I85" s="63">
        <f t="shared" si="149"/>
        <v>31.191491038675856</v>
      </c>
      <c r="J85" s="51">
        <v>37</v>
      </c>
      <c r="K85" s="63">
        <f t="shared" si="150"/>
        <v>49.10064215628494</v>
      </c>
      <c r="L85" s="63">
        <f t="shared" si="151"/>
        <v>40.52242702755388</v>
      </c>
      <c r="M85" s="51">
        <v>45</v>
      </c>
      <c r="N85" s="63">
        <f t="shared" si="152"/>
        <v>48.155871050250724</v>
      </c>
      <c r="O85" s="63">
        <f t="shared" si="153"/>
        <v>49.853363016431906</v>
      </c>
      <c r="P85" s="51">
        <v>55</v>
      </c>
      <c r="Q85" s="63">
        <f t="shared" si="154"/>
        <v>47.30173268140422</v>
      </c>
      <c r="R85" s="63">
        <f t="shared" si="155"/>
        <v>59.184299005309924</v>
      </c>
      <c r="S85" s="51">
        <v>75</v>
      </c>
      <c r="T85" s="63">
        <f t="shared" si="156"/>
        <v>46.51627138800448</v>
      </c>
      <c r="U85" s="63">
        <f t="shared" si="157"/>
        <v>68.51523499418796</v>
      </c>
      <c r="V85" s="51">
        <v>90</v>
      </c>
      <c r="W85" s="63">
        <f t="shared" si="158"/>
        <v>45.7851818418257</v>
      </c>
      <c r="X85" s="63">
        <f t="shared" si="159"/>
        <v>77.84617098306597</v>
      </c>
      <c r="Y85" s="51">
        <v>90</v>
      </c>
      <c r="Z85" s="63">
        <f t="shared" si="160"/>
        <v>45.0985275279463</v>
      </c>
      <c r="AA85" s="63">
        <f t="shared" si="161"/>
        <v>87.17710697194401</v>
      </c>
      <c r="AB85" s="51">
        <v>110</v>
      </c>
      <c r="AC85" s="63">
        <f t="shared" si="162"/>
        <v>44.449073730333865</v>
      </c>
      <c r="AD85" s="63">
        <f t="shared" si="163"/>
        <v>96.50804296082202</v>
      </c>
      <c r="AE85" s="51">
        <v>110</v>
      </c>
      <c r="AF85" s="78">
        <v>4</v>
      </c>
    </row>
    <row r="86" spans="1:32" ht="45" customHeight="1">
      <c r="A86" s="139"/>
      <c r="B86" s="133"/>
      <c r="C86" s="51">
        <v>1580</v>
      </c>
      <c r="D86" s="77">
        <f t="shared" si="145"/>
        <v>63.539223121464985</v>
      </c>
      <c r="E86" s="72">
        <f t="shared" si="146"/>
        <v>57.87937833589674</v>
      </c>
      <c r="F86" s="63">
        <f t="shared" si="147"/>
        <v>24.879917587839238</v>
      </c>
      <c r="G86" s="102">
        <v>30</v>
      </c>
      <c r="H86" s="72">
        <f t="shared" si="148"/>
        <v>56.60735724746784</v>
      </c>
      <c r="I86" s="63">
        <f t="shared" si="149"/>
        <v>35.26222664588662</v>
      </c>
      <c r="J86" s="51">
        <v>45</v>
      </c>
      <c r="K86" s="63">
        <f t="shared" si="150"/>
        <v>55.534993864787715</v>
      </c>
      <c r="L86" s="63">
        <f t="shared" si="151"/>
        <v>45.644535703934</v>
      </c>
      <c r="M86" s="51">
        <v>55</v>
      </c>
      <c r="N86" s="63">
        <f t="shared" si="152"/>
        <v>54.5902227587535</v>
      </c>
      <c r="O86" s="63">
        <f t="shared" si="153"/>
        <v>56.02684476198137</v>
      </c>
      <c r="P86" s="51">
        <v>75</v>
      </c>
      <c r="Q86" s="63">
        <f t="shared" si="154"/>
        <v>53.73608438990699</v>
      </c>
      <c r="R86" s="63">
        <f t="shared" si="155"/>
        <v>66.40915382002875</v>
      </c>
      <c r="S86" s="51">
        <v>75</v>
      </c>
      <c r="T86" s="63">
        <f t="shared" si="156"/>
        <v>52.950623096507265</v>
      </c>
      <c r="U86" s="63">
        <f t="shared" si="157"/>
        <v>76.79146287807612</v>
      </c>
      <c r="V86" s="51">
        <v>90</v>
      </c>
      <c r="W86" s="63">
        <f t="shared" si="158"/>
        <v>52.21953355032847</v>
      </c>
      <c r="X86" s="63">
        <f t="shared" si="159"/>
        <v>87.1737719361235</v>
      </c>
      <c r="Y86" s="51">
        <v>110</v>
      </c>
      <c r="Z86" s="63">
        <f t="shared" si="160"/>
        <v>51.53287923644909</v>
      </c>
      <c r="AA86" s="63">
        <f t="shared" si="161"/>
        <v>97.55608099417087</v>
      </c>
      <c r="AB86" s="51">
        <v>110</v>
      </c>
      <c r="AC86" s="63">
        <f t="shared" si="162"/>
        <v>50.88342543883665</v>
      </c>
      <c r="AD86" s="102">
        <f t="shared" si="163"/>
        <v>107.93839005221825</v>
      </c>
      <c r="AE86" s="51">
        <v>132</v>
      </c>
      <c r="AF86" s="78">
        <v>4</v>
      </c>
    </row>
    <row r="87" spans="1:32" ht="45" customHeight="1">
      <c r="A87" s="139"/>
      <c r="B87" s="133"/>
      <c r="C87" s="51">
        <v>1780</v>
      </c>
      <c r="D87" s="77">
        <f t="shared" si="145"/>
        <v>71.58216275709347</v>
      </c>
      <c r="E87" s="72">
        <f t="shared" si="146"/>
        <v>65.92231797152522</v>
      </c>
      <c r="F87" s="63">
        <f t="shared" si="147"/>
        <v>28.845127084997973</v>
      </c>
      <c r="G87" s="102">
        <v>37</v>
      </c>
      <c r="H87" s="72">
        <f t="shared" si="148"/>
        <v>64.65029688309632</v>
      </c>
      <c r="I87" s="63">
        <f t="shared" si="149"/>
        <v>40.54165247950704</v>
      </c>
      <c r="J87" s="51">
        <v>45</v>
      </c>
      <c r="K87" s="63">
        <f t="shared" si="150"/>
        <v>63.5779335004162</v>
      </c>
      <c r="L87" s="63">
        <f t="shared" si="151"/>
        <v>52.23817787401612</v>
      </c>
      <c r="M87" s="51">
        <v>75</v>
      </c>
      <c r="N87" s="63">
        <f t="shared" si="152"/>
        <v>62.63316239438198</v>
      </c>
      <c r="O87" s="63">
        <f t="shared" si="153"/>
        <v>63.93470326852519</v>
      </c>
      <c r="P87" s="51">
        <v>75</v>
      </c>
      <c r="Q87" s="63">
        <f t="shared" si="154"/>
        <v>61.77902402553548</v>
      </c>
      <c r="R87" s="63">
        <f t="shared" si="155"/>
        <v>75.63122866303425</v>
      </c>
      <c r="S87" s="51">
        <v>90</v>
      </c>
      <c r="T87" s="63">
        <f t="shared" si="156"/>
        <v>60.99356273213574</v>
      </c>
      <c r="U87" s="63">
        <f t="shared" si="157"/>
        <v>87.32775405754332</v>
      </c>
      <c r="V87" s="51">
        <v>110</v>
      </c>
      <c r="W87" s="63">
        <f t="shared" si="158"/>
        <v>60.262473185956964</v>
      </c>
      <c r="X87" s="102">
        <f t="shared" si="159"/>
        <v>99.0242794520524</v>
      </c>
      <c r="Y87" s="51">
        <v>110</v>
      </c>
      <c r="Z87" s="63">
        <f t="shared" si="160"/>
        <v>59.57581887207757</v>
      </c>
      <c r="AA87" s="102">
        <f t="shared" si="161"/>
        <v>110.72080484656149</v>
      </c>
      <c r="AB87" s="51">
        <v>132</v>
      </c>
      <c r="AC87" s="63">
        <f t="shared" si="162"/>
        <v>58.92636507446513</v>
      </c>
      <c r="AD87" s="102">
        <f t="shared" si="163"/>
        <v>122.41733024107054</v>
      </c>
      <c r="AE87" s="51">
        <v>160</v>
      </c>
      <c r="AF87" s="78">
        <v>4</v>
      </c>
    </row>
    <row r="88" spans="1:32" ht="45" customHeight="1">
      <c r="A88" s="139"/>
      <c r="B88" s="133"/>
      <c r="C88" s="51">
        <v>1880</v>
      </c>
      <c r="D88" s="77">
        <f t="shared" si="145"/>
        <v>75.6036325749077</v>
      </c>
      <c r="E88" s="72">
        <f t="shared" si="146"/>
        <v>69.94378778933945</v>
      </c>
      <c r="F88" s="63">
        <f t="shared" si="147"/>
        <v>30.910002358939167</v>
      </c>
      <c r="G88" s="102">
        <v>37</v>
      </c>
      <c r="H88" s="72">
        <f t="shared" si="148"/>
        <v>68.67176670091055</v>
      </c>
      <c r="I88" s="63">
        <f t="shared" si="149"/>
        <v>43.26363592167908</v>
      </c>
      <c r="J88" s="51">
        <v>55</v>
      </c>
      <c r="K88" s="63">
        <f t="shared" si="150"/>
        <v>67.59940331823044</v>
      </c>
      <c r="L88" s="63">
        <f t="shared" si="151"/>
        <v>55.617269484419005</v>
      </c>
      <c r="M88" s="51">
        <v>75</v>
      </c>
      <c r="N88" s="63">
        <f t="shared" si="152"/>
        <v>66.65463221219622</v>
      </c>
      <c r="O88" s="63">
        <f t="shared" si="153"/>
        <v>67.97090304715891</v>
      </c>
      <c r="P88" s="51">
        <v>90</v>
      </c>
      <c r="Q88" s="63">
        <f t="shared" si="154"/>
        <v>65.80049384334971</v>
      </c>
      <c r="R88" s="63">
        <f t="shared" si="155"/>
        <v>80.32453660989883</v>
      </c>
      <c r="S88" s="51">
        <v>90</v>
      </c>
      <c r="T88" s="63">
        <f t="shared" si="156"/>
        <v>65.01503254994998</v>
      </c>
      <c r="U88" s="63">
        <f t="shared" si="157"/>
        <v>92.67817017263874</v>
      </c>
      <c r="V88" s="51">
        <v>110</v>
      </c>
      <c r="W88" s="63">
        <f t="shared" si="158"/>
        <v>64.2839430037712</v>
      </c>
      <c r="X88" s="102">
        <f t="shared" si="159"/>
        <v>105.03180373537867</v>
      </c>
      <c r="Y88" s="51">
        <v>132</v>
      </c>
      <c r="Z88" s="63">
        <f t="shared" si="160"/>
        <v>63.59728868989181</v>
      </c>
      <c r="AA88" s="102">
        <f t="shared" si="161"/>
        <v>117.3854372981186</v>
      </c>
      <c r="AB88" s="51">
        <v>132</v>
      </c>
      <c r="AC88" s="63">
        <f t="shared" si="162"/>
        <v>62.94783489227937</v>
      </c>
      <c r="AD88" s="102">
        <f t="shared" si="163"/>
        <v>129.7390708608585</v>
      </c>
      <c r="AE88" s="51">
        <v>160</v>
      </c>
      <c r="AF88" s="78">
        <v>4</v>
      </c>
    </row>
    <row r="89" spans="1:32" ht="45" customHeight="1">
      <c r="A89" s="139"/>
      <c r="B89" s="133"/>
      <c r="C89" s="51">
        <v>2000</v>
      </c>
      <c r="D89" s="77">
        <f t="shared" si="145"/>
        <v>80.4293963562848</v>
      </c>
      <c r="E89" s="72">
        <f t="shared" si="146"/>
        <v>74.76955157071654</v>
      </c>
      <c r="F89" s="63">
        <f t="shared" si="147"/>
        <v>33.46229458264645</v>
      </c>
      <c r="G89" s="102">
        <v>45</v>
      </c>
      <c r="H89" s="72">
        <f t="shared" si="148"/>
        <v>73.49753048228764</v>
      </c>
      <c r="I89" s="63">
        <f t="shared" si="149"/>
        <v>46.604457947263384</v>
      </c>
      <c r="J89" s="51">
        <v>55</v>
      </c>
      <c r="K89" s="63">
        <f t="shared" si="150"/>
        <v>72.42516709960752</v>
      </c>
      <c r="L89" s="63">
        <f t="shared" si="151"/>
        <v>59.746621311880325</v>
      </c>
      <c r="M89" s="51">
        <v>75</v>
      </c>
      <c r="N89" s="63">
        <f t="shared" si="152"/>
        <v>71.48039599357331</v>
      </c>
      <c r="O89" s="63">
        <f t="shared" si="153"/>
        <v>72.88878467649725</v>
      </c>
      <c r="P89" s="51">
        <v>90</v>
      </c>
      <c r="Q89" s="63">
        <f t="shared" si="154"/>
        <v>70.6262576247268</v>
      </c>
      <c r="R89" s="63">
        <f t="shared" si="155"/>
        <v>86.03094804111419</v>
      </c>
      <c r="S89" s="51">
        <v>110</v>
      </c>
      <c r="T89" s="63">
        <f t="shared" si="156"/>
        <v>69.84079633132707</v>
      </c>
      <c r="U89" s="63">
        <f t="shared" si="157"/>
        <v>99.1731114057311</v>
      </c>
      <c r="V89" s="51">
        <v>110</v>
      </c>
      <c r="W89" s="63">
        <f t="shared" si="158"/>
        <v>69.10970678514829</v>
      </c>
      <c r="X89" s="102">
        <f t="shared" si="159"/>
        <v>112.31527477034807</v>
      </c>
      <c r="Y89" s="51">
        <v>132</v>
      </c>
      <c r="Z89" s="63">
        <f t="shared" si="160"/>
        <v>68.42305247126889</v>
      </c>
      <c r="AA89" s="102">
        <f t="shared" si="161"/>
        <v>125.45743813496502</v>
      </c>
      <c r="AB89" s="51">
        <v>160</v>
      </c>
      <c r="AC89" s="63">
        <f t="shared" si="162"/>
        <v>67.77359867365647</v>
      </c>
      <c r="AD89" s="102">
        <f t="shared" si="163"/>
        <v>138.59960149958192</v>
      </c>
      <c r="AE89" s="51">
        <v>160</v>
      </c>
      <c r="AF89" s="78">
        <v>4</v>
      </c>
    </row>
    <row r="90" spans="1:32" ht="45" customHeight="1">
      <c r="A90" s="139"/>
      <c r="B90" s="133"/>
      <c r="C90" s="51">
        <v>2100</v>
      </c>
      <c r="D90" s="77">
        <f t="shared" si="145"/>
        <v>84.45086617409903</v>
      </c>
      <c r="E90" s="72">
        <f t="shared" si="146"/>
        <v>78.79102138853078</v>
      </c>
      <c r="F90" s="63">
        <f t="shared" si="147"/>
        <v>35.6524805607602</v>
      </c>
      <c r="G90" s="102">
        <v>45</v>
      </c>
      <c r="H90" s="72">
        <f t="shared" si="148"/>
        <v>77.51900030010188</v>
      </c>
      <c r="I90" s="63">
        <f t="shared" si="149"/>
        <v>49.451752093607986</v>
      </c>
      <c r="J90" s="51">
        <v>55</v>
      </c>
      <c r="K90" s="63">
        <f t="shared" si="150"/>
        <v>76.44663691742177</v>
      </c>
      <c r="L90" s="63">
        <f t="shared" si="151"/>
        <v>63.25102362645577</v>
      </c>
      <c r="M90" s="51">
        <v>75</v>
      </c>
      <c r="N90" s="63">
        <f t="shared" si="152"/>
        <v>75.50186581138755</v>
      </c>
      <c r="O90" s="63">
        <f t="shared" si="153"/>
        <v>77.05029515930356</v>
      </c>
      <c r="P90" s="51">
        <v>90</v>
      </c>
      <c r="Q90" s="63">
        <f t="shared" si="154"/>
        <v>74.64772744254104</v>
      </c>
      <c r="R90" s="63">
        <f t="shared" si="155"/>
        <v>90.84956669215134</v>
      </c>
      <c r="S90" s="51">
        <v>110</v>
      </c>
      <c r="T90" s="63">
        <f t="shared" si="156"/>
        <v>73.86226614914132</v>
      </c>
      <c r="U90" s="102">
        <f t="shared" si="157"/>
        <v>104.64883822499911</v>
      </c>
      <c r="V90" s="51">
        <v>132</v>
      </c>
      <c r="W90" s="63">
        <f t="shared" si="158"/>
        <v>73.13117660296253</v>
      </c>
      <c r="X90" s="102">
        <f t="shared" si="159"/>
        <v>118.44810975784691</v>
      </c>
      <c r="Y90" s="51">
        <v>132</v>
      </c>
      <c r="Z90" s="63">
        <f t="shared" si="160"/>
        <v>72.44452228908314</v>
      </c>
      <c r="AA90" s="102">
        <f t="shared" si="161"/>
        <v>132.24738129069468</v>
      </c>
      <c r="AB90" s="51">
        <v>160</v>
      </c>
      <c r="AC90" s="63">
        <f t="shared" si="162"/>
        <v>71.79506849147069</v>
      </c>
      <c r="AD90" s="102">
        <f t="shared" si="163"/>
        <v>146.04665282354247</v>
      </c>
      <c r="AE90" s="51">
        <v>160</v>
      </c>
      <c r="AF90" s="78">
        <v>4</v>
      </c>
    </row>
    <row r="91" spans="1:32" ht="45" customHeight="1">
      <c r="A91" s="142"/>
      <c r="B91" s="134"/>
      <c r="C91" s="64">
        <v>2250</v>
      </c>
      <c r="D91" s="90">
        <f t="shared" si="145"/>
        <v>90.4830709008204</v>
      </c>
      <c r="E91" s="73">
        <f t="shared" si="146"/>
        <v>84.82322611525214</v>
      </c>
      <c r="F91" s="75">
        <f t="shared" si="147"/>
        <v>39.04797140084484</v>
      </c>
      <c r="G91" s="93">
        <v>45</v>
      </c>
      <c r="H91" s="73">
        <f t="shared" si="148"/>
        <v>83.55120502682325</v>
      </c>
      <c r="I91" s="75">
        <f t="shared" si="149"/>
        <v>53.83290518603887</v>
      </c>
      <c r="J91" s="64">
        <v>75</v>
      </c>
      <c r="K91" s="75">
        <f t="shared" si="150"/>
        <v>82.47884164414313</v>
      </c>
      <c r="L91" s="75">
        <f t="shared" si="151"/>
        <v>68.61783897123294</v>
      </c>
      <c r="M91" s="64">
        <v>90</v>
      </c>
      <c r="N91" s="75">
        <f t="shared" si="152"/>
        <v>81.5340705381089</v>
      </c>
      <c r="O91" s="75">
        <f t="shared" si="153"/>
        <v>83.40277275642698</v>
      </c>
      <c r="P91" s="64">
        <v>110</v>
      </c>
      <c r="Q91" s="75">
        <f t="shared" si="154"/>
        <v>80.6799321692624</v>
      </c>
      <c r="R91" s="75">
        <f t="shared" si="155"/>
        <v>98.18770654162103</v>
      </c>
      <c r="S91" s="64">
        <v>110</v>
      </c>
      <c r="T91" s="75">
        <f t="shared" si="156"/>
        <v>79.89447087586268</v>
      </c>
      <c r="U91" s="93">
        <f t="shared" si="157"/>
        <v>112.97264032681508</v>
      </c>
      <c r="V91" s="64">
        <v>132</v>
      </c>
      <c r="W91" s="75">
        <f t="shared" si="158"/>
        <v>79.16338132968389</v>
      </c>
      <c r="X91" s="93">
        <f t="shared" si="159"/>
        <v>127.75757411200917</v>
      </c>
      <c r="Y91" s="64">
        <v>160</v>
      </c>
      <c r="Z91" s="75">
        <f t="shared" si="160"/>
        <v>78.4767270158045</v>
      </c>
      <c r="AA91" s="93">
        <f t="shared" si="161"/>
        <v>142.5425078972032</v>
      </c>
      <c r="AB91" s="64">
        <v>160</v>
      </c>
      <c r="AC91" s="75"/>
      <c r="AD91" s="93"/>
      <c r="AE91" s="64"/>
      <c r="AF91" s="92">
        <v>4</v>
      </c>
    </row>
    <row r="92" spans="1:32" ht="45" customHeight="1">
      <c r="A92" s="141" t="s">
        <v>21</v>
      </c>
      <c r="B92" s="132">
        <v>250</v>
      </c>
      <c r="C92" s="68">
        <v>1250</v>
      </c>
      <c r="D92" s="76">
        <f aca="true" t="shared" si="164" ref="D92:D99">PI()/2*0.526*POWER(0.312,2)*0.7*C92</f>
        <v>70.37572181174919</v>
      </c>
      <c r="E92" s="111">
        <f aca="true" t="shared" si="165" ref="E92:E99">(C92-295*SQRT((19.6+101.325)/101.325-1))*D92/C92</f>
        <v>63.07098463537516</v>
      </c>
      <c r="F92" s="71">
        <f aca="true" t="shared" si="166" ref="F92:F99">D92*19.6/98*1.634*1+3.1*POWER(C92/1200,2.5)</f>
        <v>26.431863417479526</v>
      </c>
      <c r="G92" s="112">
        <v>37</v>
      </c>
      <c r="H92" s="111">
        <f aca="true" t="shared" si="167" ref="H92:H99">(C92-295*SQRT((29.4+101.325)/101.325-1))*D92/C92</f>
        <v>61.429282418121616</v>
      </c>
      <c r="I92" s="71">
        <f aca="true" t="shared" si="168" ref="I92:I99">D92*29.4/98*1.634*1+3.1*POWER(C92/1200,2.5)</f>
        <v>37.93125636151934</v>
      </c>
      <c r="J92" s="68">
        <v>45</v>
      </c>
      <c r="K92" s="71">
        <f aca="true" t="shared" si="169" ref="K92:K99">(C92-295*SQRT((39.2+101.325)/101.325-1))*D92/C92</f>
        <v>60.045263427350086</v>
      </c>
      <c r="L92" s="71">
        <f aca="true" t="shared" si="170" ref="L92:L99">D92*39.2/98*1.634*1+3.1*POWER(C92/1200,2.5)</f>
        <v>49.43064930555916</v>
      </c>
      <c r="M92" s="68">
        <v>55</v>
      </c>
      <c r="N92" s="71">
        <f aca="true" t="shared" si="171" ref="N92:N99">(C92-295*SQRT((49+101.325)/101.325-1))*D92/C92</f>
        <v>58.82591821862467</v>
      </c>
      <c r="O92" s="71">
        <f aca="true" t="shared" si="172" ref="O92:O99">D92*49/98*1.634*1+3.1*POWER(C92/1200,2.5)</f>
        <v>60.93004224959897</v>
      </c>
      <c r="P92" s="68">
        <v>75</v>
      </c>
      <c r="Q92" s="71">
        <f aca="true" t="shared" si="173" ref="Q92:Q99">(C92-295*SQRT((58.8+101.325)/101.325-1))*D92/C92</f>
        <v>57.723545886332154</v>
      </c>
      <c r="R92" s="71">
        <f aca="true" t="shared" si="174" ref="R92:R99">D92*58.8/98*1.634*1+3.1*POWER(C92/1200,2.5)</f>
        <v>72.4294351936388</v>
      </c>
      <c r="S92" s="68">
        <v>90</v>
      </c>
      <c r="T92" s="71">
        <f aca="true" t="shared" si="175" ref="T92:T97">(C92-295*SQRT((68.6+101.325)/101.325-1))*D92/C92</f>
        <v>56.70980990453813</v>
      </c>
      <c r="U92" s="71">
        <f aca="true" t="shared" si="176" ref="U92:U97">D92*68.6/98*1.634*1+3.1*POWER(C92/1200,2.5)</f>
        <v>83.92882813767861</v>
      </c>
      <c r="V92" s="68">
        <v>110</v>
      </c>
      <c r="W92" s="89"/>
      <c r="X92" s="63"/>
      <c r="Y92" s="51"/>
      <c r="Z92" s="63"/>
      <c r="AA92" s="63"/>
      <c r="AB92" s="51"/>
      <c r="AC92" s="63"/>
      <c r="AD92" s="63"/>
      <c r="AE92" s="51"/>
      <c r="AF92" s="61">
        <v>4</v>
      </c>
    </row>
    <row r="93" spans="1:32" ht="45" customHeight="1">
      <c r="A93" s="139"/>
      <c r="B93" s="133"/>
      <c r="C93" s="51">
        <v>1420</v>
      </c>
      <c r="D93" s="77">
        <f t="shared" si="164"/>
        <v>79.94681997814708</v>
      </c>
      <c r="E93" s="72">
        <f t="shared" si="165"/>
        <v>72.64208280177306</v>
      </c>
      <c r="F93" s="63">
        <f t="shared" si="166"/>
        <v>30.848658355541662</v>
      </c>
      <c r="G93" s="102">
        <v>37</v>
      </c>
      <c r="H93" s="72">
        <f t="shared" si="167"/>
        <v>71.0003805845195</v>
      </c>
      <c r="I93" s="63">
        <f t="shared" si="168"/>
        <v>43.91196873997089</v>
      </c>
      <c r="J93" s="51">
        <v>55</v>
      </c>
      <c r="K93" s="63">
        <f t="shared" si="169"/>
        <v>69.61636159374798</v>
      </c>
      <c r="L93" s="63">
        <f t="shared" si="170"/>
        <v>56.97527912440013</v>
      </c>
      <c r="M93" s="51">
        <v>75</v>
      </c>
      <c r="N93" s="63">
        <f t="shared" si="171"/>
        <v>68.39701638502255</v>
      </c>
      <c r="O93" s="63">
        <f t="shared" si="172"/>
        <v>70.03858950882936</v>
      </c>
      <c r="P93" s="51">
        <v>90</v>
      </c>
      <c r="Q93" s="63">
        <f t="shared" si="173"/>
        <v>67.29464405273005</v>
      </c>
      <c r="R93" s="63">
        <f t="shared" si="174"/>
        <v>83.10189989325859</v>
      </c>
      <c r="S93" s="51">
        <v>110</v>
      </c>
      <c r="T93" s="63">
        <f t="shared" si="175"/>
        <v>66.28090807093602</v>
      </c>
      <c r="U93" s="63">
        <f t="shared" si="176"/>
        <v>96.16521027768782</v>
      </c>
      <c r="V93" s="51">
        <v>110</v>
      </c>
      <c r="W93" s="89"/>
      <c r="X93" s="63"/>
      <c r="Y93" s="51"/>
      <c r="Z93" s="63"/>
      <c r="AA93" s="63"/>
      <c r="AB93" s="51"/>
      <c r="AC93" s="63"/>
      <c r="AD93" s="63"/>
      <c r="AE93" s="51"/>
      <c r="AF93" s="62">
        <v>4</v>
      </c>
    </row>
    <row r="94" spans="1:32" ht="45" customHeight="1">
      <c r="A94" s="139"/>
      <c r="B94" s="133"/>
      <c r="C94" s="51">
        <v>1580</v>
      </c>
      <c r="D94" s="77">
        <f t="shared" si="164"/>
        <v>88.95491237005098</v>
      </c>
      <c r="E94" s="72">
        <f t="shared" si="165"/>
        <v>81.65017519367696</v>
      </c>
      <c r="F94" s="63">
        <f t="shared" si="166"/>
        <v>35.23714370694832</v>
      </c>
      <c r="G94" s="102">
        <v>45</v>
      </c>
      <c r="H94" s="72">
        <f t="shared" si="167"/>
        <v>80.0084729764234</v>
      </c>
      <c r="I94" s="63">
        <f t="shared" si="168"/>
        <v>49.77237638821465</v>
      </c>
      <c r="J94" s="51">
        <v>55</v>
      </c>
      <c r="K94" s="63">
        <f t="shared" si="169"/>
        <v>78.62445398565188</v>
      </c>
      <c r="L94" s="63">
        <f t="shared" si="170"/>
        <v>64.30760906948097</v>
      </c>
      <c r="M94" s="51">
        <v>75</v>
      </c>
      <c r="N94" s="63">
        <f t="shared" si="171"/>
        <v>77.40510877692645</v>
      </c>
      <c r="O94" s="63">
        <f t="shared" si="172"/>
        <v>78.8428417507473</v>
      </c>
      <c r="P94" s="51">
        <v>90</v>
      </c>
      <c r="Q94" s="63">
        <f t="shared" si="173"/>
        <v>76.30273644463394</v>
      </c>
      <c r="R94" s="63">
        <f t="shared" si="174"/>
        <v>93.37807443201363</v>
      </c>
      <c r="S94" s="51">
        <v>110</v>
      </c>
      <c r="T94" s="63">
        <f t="shared" si="175"/>
        <v>75.28900046283992</v>
      </c>
      <c r="U94" s="102">
        <f t="shared" si="176"/>
        <v>107.91330711327996</v>
      </c>
      <c r="V94" s="51">
        <v>132</v>
      </c>
      <c r="W94" s="89"/>
      <c r="X94" s="63"/>
      <c r="Y94" s="51"/>
      <c r="Z94" s="63"/>
      <c r="AA94" s="63"/>
      <c r="AB94" s="51"/>
      <c r="AC94" s="63"/>
      <c r="AD94" s="63"/>
      <c r="AE94" s="51"/>
      <c r="AF94" s="62">
        <v>4</v>
      </c>
    </row>
    <row r="95" spans="1:32" ht="45" customHeight="1">
      <c r="A95" s="139"/>
      <c r="B95" s="133"/>
      <c r="C95" s="51">
        <v>1780</v>
      </c>
      <c r="D95" s="77">
        <f>PI()/2*0.526*POWER(0.312,2)*0.7*C95</f>
        <v>100.21502785993084</v>
      </c>
      <c r="E95" s="72">
        <f t="shared" si="165"/>
        <v>92.91029068355681</v>
      </c>
      <c r="F95" s="63">
        <f t="shared" si="166"/>
        <v>41.057546049354116</v>
      </c>
      <c r="G95" s="102">
        <v>55</v>
      </c>
      <c r="H95" s="72">
        <f t="shared" si="167"/>
        <v>91.26858846630329</v>
      </c>
      <c r="I95" s="63">
        <f t="shared" si="168"/>
        <v>57.4326816016668</v>
      </c>
      <c r="J95" s="51">
        <v>75</v>
      </c>
      <c r="K95" s="63">
        <f t="shared" si="169"/>
        <v>89.88456947553175</v>
      </c>
      <c r="L95" s="63">
        <f t="shared" si="170"/>
        <v>73.80781715397953</v>
      </c>
      <c r="M95" s="51">
        <v>90</v>
      </c>
      <c r="N95" s="63">
        <f t="shared" si="171"/>
        <v>88.66522426680633</v>
      </c>
      <c r="O95" s="63">
        <f t="shared" si="172"/>
        <v>90.18295270629221</v>
      </c>
      <c r="P95" s="51">
        <v>110</v>
      </c>
      <c r="Q95" s="63">
        <f t="shared" si="173"/>
        <v>87.56285193451382</v>
      </c>
      <c r="R95" s="102">
        <f t="shared" si="174"/>
        <v>106.5580882586049</v>
      </c>
      <c r="S95" s="51">
        <v>132</v>
      </c>
      <c r="T95" s="63">
        <f t="shared" si="175"/>
        <v>86.54911595271979</v>
      </c>
      <c r="U95" s="102">
        <f t="shared" si="176"/>
        <v>122.93322381091758</v>
      </c>
      <c r="V95" s="51">
        <v>160</v>
      </c>
      <c r="W95" s="89"/>
      <c r="X95" s="63"/>
      <c r="Y95" s="51"/>
      <c r="Z95" s="63"/>
      <c r="AA95" s="63"/>
      <c r="AB95" s="51"/>
      <c r="AC95" s="63"/>
      <c r="AD95" s="63"/>
      <c r="AE95" s="51"/>
      <c r="AF95" s="62">
        <v>4</v>
      </c>
    </row>
    <row r="96" spans="1:32" ht="45" customHeight="1">
      <c r="A96" s="139"/>
      <c r="B96" s="133"/>
      <c r="C96" s="51">
        <v>1880</v>
      </c>
      <c r="D96" s="77">
        <f>PI()/2*0.526*POWER(0.312,2)*0.7*C96</f>
        <v>105.84508560487077</v>
      </c>
      <c r="E96" s="72">
        <f t="shared" si="165"/>
        <v>98.54034842849674</v>
      </c>
      <c r="F96" s="63">
        <f t="shared" si="166"/>
        <v>44.11381905124627</v>
      </c>
      <c r="G96" s="102">
        <v>55</v>
      </c>
      <c r="H96" s="72">
        <f t="shared" si="167"/>
        <v>96.8986462112432</v>
      </c>
      <c r="I96" s="63">
        <f t="shared" si="168"/>
        <v>61.408906039082154</v>
      </c>
      <c r="J96" s="51">
        <v>75</v>
      </c>
      <c r="K96" s="63">
        <f t="shared" si="169"/>
        <v>95.51462722047168</v>
      </c>
      <c r="L96" s="63">
        <f t="shared" si="170"/>
        <v>78.70399302691803</v>
      </c>
      <c r="M96" s="51">
        <v>90</v>
      </c>
      <c r="N96" s="63">
        <f t="shared" si="171"/>
        <v>94.29528201174627</v>
      </c>
      <c r="O96" s="63">
        <f t="shared" si="172"/>
        <v>95.99908001475393</v>
      </c>
      <c r="P96" s="51">
        <v>110</v>
      </c>
      <c r="Q96" s="63">
        <f t="shared" si="173"/>
        <v>93.19290967945373</v>
      </c>
      <c r="R96" s="102">
        <f t="shared" si="174"/>
        <v>113.2941670025898</v>
      </c>
      <c r="S96" s="51">
        <v>132</v>
      </c>
      <c r="T96" s="63">
        <f t="shared" si="175"/>
        <v>92.17917369765973</v>
      </c>
      <c r="U96" s="102">
        <f t="shared" si="176"/>
        <v>130.58925399042568</v>
      </c>
      <c r="V96" s="51">
        <v>160</v>
      </c>
      <c r="W96" s="89"/>
      <c r="X96" s="63"/>
      <c r="Y96" s="51"/>
      <c r="Z96" s="63"/>
      <c r="AA96" s="63"/>
      <c r="AB96" s="51"/>
      <c r="AC96" s="63"/>
      <c r="AD96" s="63"/>
      <c r="AE96" s="51"/>
      <c r="AF96" s="62">
        <v>4</v>
      </c>
    </row>
    <row r="97" spans="1:32" ht="45" customHeight="1">
      <c r="A97" s="139"/>
      <c r="B97" s="133"/>
      <c r="C97" s="51">
        <v>2000</v>
      </c>
      <c r="D97" s="77">
        <f t="shared" si="164"/>
        <v>112.6011548987987</v>
      </c>
      <c r="E97" s="102">
        <f t="shared" si="165"/>
        <v>105.29641772242466</v>
      </c>
      <c r="F97" s="63">
        <f t="shared" si="166"/>
        <v>47.91495406281908</v>
      </c>
      <c r="G97" s="102">
        <v>55</v>
      </c>
      <c r="H97" s="102">
        <f t="shared" si="167"/>
        <v>103.65471550517113</v>
      </c>
      <c r="I97" s="63">
        <f t="shared" si="168"/>
        <v>66.31398277328277</v>
      </c>
      <c r="J97" s="51">
        <v>75</v>
      </c>
      <c r="K97" s="102">
        <f t="shared" si="169"/>
        <v>102.2706965143996</v>
      </c>
      <c r="L97" s="63">
        <f t="shared" si="170"/>
        <v>84.71301148374648</v>
      </c>
      <c r="M97" s="51">
        <v>110</v>
      </c>
      <c r="N97" s="102">
        <f t="shared" si="171"/>
        <v>101.05135130567417</v>
      </c>
      <c r="O97" s="102">
        <f t="shared" si="172"/>
        <v>103.11204019421018</v>
      </c>
      <c r="P97" s="51">
        <v>132</v>
      </c>
      <c r="Q97" s="63">
        <f t="shared" si="173"/>
        <v>99.94897897338166</v>
      </c>
      <c r="R97" s="102">
        <f t="shared" si="174"/>
        <v>121.51106890467388</v>
      </c>
      <c r="S97" s="51">
        <v>160</v>
      </c>
      <c r="T97" s="63">
        <f t="shared" si="175"/>
        <v>98.93524299158764</v>
      </c>
      <c r="U97" s="102">
        <f t="shared" si="176"/>
        <v>139.91009761513757</v>
      </c>
      <c r="V97" s="51">
        <v>160</v>
      </c>
      <c r="W97" s="89"/>
      <c r="X97" s="63"/>
      <c r="Y97" s="51"/>
      <c r="Z97" s="63"/>
      <c r="AA97" s="63"/>
      <c r="AB97" s="51"/>
      <c r="AC97" s="63"/>
      <c r="AD97" s="63"/>
      <c r="AE97" s="51"/>
      <c r="AF97" s="62">
        <v>4</v>
      </c>
    </row>
    <row r="98" spans="1:32" ht="45" customHeight="1">
      <c r="A98" s="139"/>
      <c r="B98" s="133"/>
      <c r="C98" s="51">
        <v>2100</v>
      </c>
      <c r="D98" s="77">
        <f t="shared" si="164"/>
        <v>118.23121264373863</v>
      </c>
      <c r="E98" s="102">
        <f t="shared" si="165"/>
        <v>110.9264754673646</v>
      </c>
      <c r="F98" s="63">
        <f t="shared" si="166"/>
        <v>51.19701104668352</v>
      </c>
      <c r="G98" s="102">
        <v>75</v>
      </c>
      <c r="H98" s="102">
        <f t="shared" si="167"/>
        <v>109.28477325011107</v>
      </c>
      <c r="I98" s="63">
        <f t="shared" si="168"/>
        <v>70.5159911926704</v>
      </c>
      <c r="J98" s="51">
        <v>90</v>
      </c>
      <c r="K98" s="102">
        <f t="shared" si="169"/>
        <v>107.90075425933954</v>
      </c>
      <c r="L98" s="63">
        <f t="shared" si="170"/>
        <v>89.83497133865731</v>
      </c>
      <c r="M98" s="51">
        <v>110</v>
      </c>
      <c r="N98" s="102">
        <f t="shared" si="171"/>
        <v>106.6814090506141</v>
      </c>
      <c r="O98" s="102">
        <f t="shared" si="172"/>
        <v>109.15395148464418</v>
      </c>
      <c r="P98" s="51">
        <v>132</v>
      </c>
      <c r="Q98" s="102">
        <f t="shared" si="173"/>
        <v>105.57903671832159</v>
      </c>
      <c r="R98" s="102">
        <f t="shared" si="174"/>
        <v>128.47293163063105</v>
      </c>
      <c r="S98" s="51">
        <v>160</v>
      </c>
      <c r="T98" s="63"/>
      <c r="U98" s="63"/>
      <c r="V98" s="51"/>
      <c r="W98" s="89"/>
      <c r="X98" s="63"/>
      <c r="Y98" s="51"/>
      <c r="Z98" s="63"/>
      <c r="AA98" s="63"/>
      <c r="AB98" s="51"/>
      <c r="AC98" s="63"/>
      <c r="AD98" s="63"/>
      <c r="AE98" s="51"/>
      <c r="AF98" s="62">
        <v>4</v>
      </c>
    </row>
    <row r="99" spans="1:32" ht="45" customHeight="1">
      <c r="A99" s="142"/>
      <c r="B99" s="134"/>
      <c r="C99" s="64">
        <v>2250</v>
      </c>
      <c r="D99" s="90">
        <f t="shared" si="164"/>
        <v>126.67629926114853</v>
      </c>
      <c r="E99" s="102">
        <f t="shared" si="165"/>
        <v>119.37156208477451</v>
      </c>
      <c r="F99" s="63">
        <f t="shared" si="166"/>
        <v>56.321114749318866</v>
      </c>
      <c r="G99" s="102">
        <v>75</v>
      </c>
      <c r="H99" s="102">
        <f t="shared" si="167"/>
        <v>117.72985986752097</v>
      </c>
      <c r="I99" s="63">
        <f t="shared" si="168"/>
        <v>77.02002204859053</v>
      </c>
      <c r="J99" s="51">
        <v>90</v>
      </c>
      <c r="K99" s="102">
        <f t="shared" si="169"/>
        <v>116.34584087674943</v>
      </c>
      <c r="L99" s="63">
        <f t="shared" si="170"/>
        <v>97.7189293478622</v>
      </c>
      <c r="M99" s="51">
        <v>110</v>
      </c>
      <c r="N99" s="102">
        <f t="shared" si="171"/>
        <v>115.126495668024</v>
      </c>
      <c r="O99" s="102">
        <f t="shared" si="172"/>
        <v>118.41783664713385</v>
      </c>
      <c r="P99" s="51">
        <v>132</v>
      </c>
      <c r="Q99" s="102">
        <f t="shared" si="173"/>
        <v>114.0241233357315</v>
      </c>
      <c r="R99" s="102">
        <f t="shared" si="174"/>
        <v>139.11674394640553</v>
      </c>
      <c r="S99" s="51">
        <v>160</v>
      </c>
      <c r="T99" s="102"/>
      <c r="U99" s="102"/>
      <c r="V99" s="51"/>
      <c r="W99" s="89"/>
      <c r="X99" s="63"/>
      <c r="Y99" s="51"/>
      <c r="Z99" s="63"/>
      <c r="AA99" s="63"/>
      <c r="AB99" s="51"/>
      <c r="AC99" s="63"/>
      <c r="AD99" s="63"/>
      <c r="AE99" s="51"/>
      <c r="AF99" s="67">
        <v>4</v>
      </c>
    </row>
    <row r="100" spans="1:32" ht="45" customHeight="1">
      <c r="A100" s="141" t="s">
        <v>22</v>
      </c>
      <c r="B100" s="132">
        <v>300</v>
      </c>
      <c r="C100" s="68">
        <v>980</v>
      </c>
      <c r="D100" s="76">
        <f>PI()/2*0.526*POWER(0.405,2)*0.65*C100</f>
        <v>86.3286799051337</v>
      </c>
      <c r="E100" s="111">
        <f>(C100-250*SQRT((19.6+101.325)/101.325-1))*D100/C100</f>
        <v>76.6428070820247</v>
      </c>
      <c r="F100" s="71">
        <f>D100*19.6/98*1.634*1+4*POWER(C100/950,2.25)</f>
        <v>32.50204721277102</v>
      </c>
      <c r="G100" s="113">
        <v>45</v>
      </c>
      <c r="H100" s="111">
        <f>(C100-250*SQRT((29.4+101.325)/101.325-1))*D100/C100</f>
        <v>74.4659568400798</v>
      </c>
      <c r="I100" s="71">
        <f>D100*29.4/98*1.634*1+4*POWER(C100/950,2.25)</f>
        <v>46.608153509269854</v>
      </c>
      <c r="J100" s="68">
        <v>55</v>
      </c>
      <c r="K100" s="71">
        <f>(C100-250*SQRT((39.2+101.325)/101.325-1))*D100/C100</f>
        <v>72.63078719527199</v>
      </c>
      <c r="L100" s="71">
        <f>D100*39.2/98*1.634*1+4*POWER(C100/950,2.25)</f>
        <v>60.714259805768705</v>
      </c>
      <c r="M100" s="68">
        <v>75</v>
      </c>
      <c r="N100" s="71">
        <f>(C100-250*SQRT((49+101.325)/101.325-1))*D100/C100</f>
        <v>71.01397028125892</v>
      </c>
      <c r="O100" s="71">
        <f>D100*49/98*1.634*1+4*POWER(C100/950,2.25)</f>
        <v>74.82036610226756</v>
      </c>
      <c r="P100" s="68">
        <v>90</v>
      </c>
      <c r="Q100" s="71">
        <f>(C100-250*SQRT((58.8+101.325)/101.325-1))*D100/C100</f>
        <v>69.55225605985834</v>
      </c>
      <c r="R100" s="71">
        <f>D100*58.8/98*1.634*1+4*POWER(C100/950,2.25)</f>
        <v>88.92647239876639</v>
      </c>
      <c r="S100" s="68">
        <v>110</v>
      </c>
      <c r="T100" s="71">
        <f>(C100-250*SQRT((68.6+101.325)/101.325-1))*D100/C100</f>
        <v>68.20807110716434</v>
      </c>
      <c r="U100" s="112">
        <f>D100*68.6/98*1.634*1+4*POWER(C100/950,2.25)</f>
        <v>103.03257869526524</v>
      </c>
      <c r="V100" s="68">
        <v>132</v>
      </c>
      <c r="W100" s="71">
        <f>(C100-250*SQRT((78.4+101.325)/101.325-1))*D100/C100</f>
        <v>66.95693425891572</v>
      </c>
      <c r="X100" s="112">
        <f>D100*78.4/98*1.634*1+4*POWER(C100/950,2.25)</f>
        <v>117.1386849917641</v>
      </c>
      <c r="Y100" s="68">
        <v>132</v>
      </c>
      <c r="Z100" s="71">
        <f>(C100-240*SQRT((88.2+101.325)/101.325-1))*D100/C100</f>
        <v>66.60371440293284</v>
      </c>
      <c r="AA100" s="112">
        <f aca="true" t="shared" si="177" ref="AA100:AA105">D100*88.2/98*1.634*1+4*POWER(C100/950,2.25)</f>
        <v>131.24479128826292</v>
      </c>
      <c r="AB100" s="68">
        <v>160</v>
      </c>
      <c r="AC100" s="71">
        <f>(C100-250*SQRT((98+101.325)/101.325-1))*D100/C100</f>
        <v>64.67040985124422</v>
      </c>
      <c r="AD100" s="112">
        <f>D100*98/98*1.634*1+4*POWER(C100/950,2.25)</f>
        <v>145.35089758476178</v>
      </c>
      <c r="AE100" s="68">
        <v>160</v>
      </c>
      <c r="AF100" s="91">
        <v>4</v>
      </c>
    </row>
    <row r="101" spans="1:32" ht="45" customHeight="1">
      <c r="A101" s="139"/>
      <c r="B101" s="133"/>
      <c r="C101" s="51">
        <v>1120</v>
      </c>
      <c r="D101" s="77">
        <f aca="true" t="shared" si="178" ref="D101:D107">PI()/2*0.526*POWER(0.405,2)*0.65*C101</f>
        <v>98.66134846300994</v>
      </c>
      <c r="E101" s="72">
        <f aca="true" t="shared" si="179" ref="E101:E107">(C101-250*SQRT((19.6+101.325)/101.325-1))*D101/C101</f>
        <v>88.97547563990096</v>
      </c>
      <c r="F101" s="63">
        <f>D101*19.6/98*1.634*1+4*POWER(C101/950,2.25)</f>
        <v>38.03578081378055</v>
      </c>
      <c r="G101" s="102">
        <v>45</v>
      </c>
      <c r="H101" s="72">
        <f aca="true" t="shared" si="180" ref="H101:H107">(C101-250*SQRT((29.4+101.325)/101.325-1))*D101/C101</f>
        <v>86.79862539795606</v>
      </c>
      <c r="I101" s="63">
        <f aca="true" t="shared" si="181" ref="I101:I107">D101*29.4/98*1.634*1+4*POWER(C101/950,2.25)</f>
        <v>54.15704515263637</v>
      </c>
      <c r="J101" s="51">
        <v>75</v>
      </c>
      <c r="K101" s="63">
        <f aca="true" t="shared" si="182" ref="K101:K107">(C101-250*SQRT((39.2+101.325)/101.325-1))*D101/C101</f>
        <v>84.96345575314824</v>
      </c>
      <c r="L101" s="63">
        <f aca="true" t="shared" si="183" ref="L101:L107">D101*39.2/98*1.634*1+4*POWER(C101/950,2.25)</f>
        <v>70.2783094914922</v>
      </c>
      <c r="M101" s="51">
        <v>90</v>
      </c>
      <c r="N101" s="63">
        <f aca="true" t="shared" si="184" ref="N101:N107">(C101-250*SQRT((49+101.325)/101.325-1))*D101/C101</f>
        <v>83.34663883913517</v>
      </c>
      <c r="O101" s="63">
        <f aca="true" t="shared" si="185" ref="O101:O107">D101*49/98*1.634*1+4*POWER(C101/950,2.25)</f>
        <v>86.39957383034802</v>
      </c>
      <c r="P101" s="51">
        <v>110</v>
      </c>
      <c r="Q101" s="63">
        <f aca="true" t="shared" si="186" ref="Q101:Q107">(C101-250*SQRT((58.8+101.325)/101.325-1))*D101/C101</f>
        <v>81.8849246177346</v>
      </c>
      <c r="R101" s="102">
        <f aca="true" t="shared" si="187" ref="R101:R107">D101*58.8/98*1.634*1+4*POWER(C101/950,2.25)</f>
        <v>102.52083816920384</v>
      </c>
      <c r="S101" s="51">
        <v>132</v>
      </c>
      <c r="T101" s="63">
        <f aca="true" t="shared" si="188" ref="T101:T107">(C101-250*SQRT((68.6+101.325)/101.325-1))*D101/C101</f>
        <v>80.54073966504059</v>
      </c>
      <c r="U101" s="102">
        <f aca="true" t="shared" si="189" ref="U101:U107">D101*68.6/98*1.634*1+4*POWER(C101/950,2.25)</f>
        <v>118.64210250805966</v>
      </c>
      <c r="V101" s="51">
        <v>132</v>
      </c>
      <c r="W101" s="63">
        <f aca="true" t="shared" si="190" ref="W101:W107">(C101-250*SQRT((78.4+101.325)/101.325-1))*D101/C101</f>
        <v>79.28960281679197</v>
      </c>
      <c r="X101" s="102">
        <f aca="true" t="shared" si="191" ref="X101:X107">D101*78.4/98*1.634*1+4*POWER(C101/950,2.25)</f>
        <v>134.7633668469155</v>
      </c>
      <c r="Y101" s="51">
        <v>160</v>
      </c>
      <c r="Z101" s="63">
        <f aca="true" t="shared" si="192" ref="Z101:Z106">(C101-240*SQRT((88.2+101.325)/101.325-1))*D101/C101</f>
        <v>78.9363829608091</v>
      </c>
      <c r="AA101" s="102">
        <f t="shared" si="177"/>
        <v>150.88463118577133</v>
      </c>
      <c r="AB101" s="51">
        <v>185</v>
      </c>
      <c r="AC101" s="63">
        <f>(C101-250*SQRT((98+101.325)/101.325-1))*D101/C101</f>
        <v>77.00307840912046</v>
      </c>
      <c r="AD101" s="102">
        <f>D101*98/98*1.634*1+4*POWER(C101/950,2.25)</f>
        <v>167.00589552462714</v>
      </c>
      <c r="AE101" s="51">
        <v>185</v>
      </c>
      <c r="AF101" s="78">
        <v>4</v>
      </c>
    </row>
    <row r="102" spans="1:32" ht="45" customHeight="1">
      <c r="A102" s="139"/>
      <c r="B102" s="133"/>
      <c r="C102" s="51">
        <v>1250</v>
      </c>
      <c r="D102" s="77">
        <f t="shared" si="178"/>
        <v>110.11311212389504</v>
      </c>
      <c r="E102" s="72">
        <f t="shared" si="179"/>
        <v>100.42723930078606</v>
      </c>
      <c r="F102" s="63">
        <f aca="true" t="shared" si="193" ref="F102:F107">D102*19.6/98*1.634*1+4*POWER(C102/950,2.25)</f>
        <v>43.40198433517308</v>
      </c>
      <c r="G102" s="102">
        <v>55</v>
      </c>
      <c r="H102" s="72">
        <f t="shared" si="180"/>
        <v>98.25038905884114</v>
      </c>
      <c r="I102" s="63">
        <f t="shared" si="181"/>
        <v>61.39446685621752</v>
      </c>
      <c r="J102" s="51">
        <v>75</v>
      </c>
      <c r="K102" s="63">
        <f t="shared" si="182"/>
        <v>96.41521941403332</v>
      </c>
      <c r="L102" s="63">
        <f t="shared" si="183"/>
        <v>79.38694937726198</v>
      </c>
      <c r="M102" s="51">
        <v>90</v>
      </c>
      <c r="N102" s="63">
        <f t="shared" si="184"/>
        <v>94.79840250002025</v>
      </c>
      <c r="O102" s="63">
        <f t="shared" si="185"/>
        <v>97.37943189830644</v>
      </c>
      <c r="P102" s="51">
        <v>110</v>
      </c>
      <c r="Q102" s="63">
        <f t="shared" si="186"/>
        <v>93.33668827861968</v>
      </c>
      <c r="R102" s="102">
        <f t="shared" si="187"/>
        <v>115.37191441935086</v>
      </c>
      <c r="S102" s="51">
        <v>132</v>
      </c>
      <c r="T102" s="63">
        <f t="shared" si="188"/>
        <v>91.99250332592567</v>
      </c>
      <c r="U102" s="102">
        <f t="shared" si="189"/>
        <v>133.36439694039532</v>
      </c>
      <c r="V102" s="51">
        <v>160</v>
      </c>
      <c r="W102" s="63">
        <f t="shared" si="190"/>
        <v>90.74136647767706</v>
      </c>
      <c r="X102" s="102">
        <f t="shared" si="191"/>
        <v>151.3568794614398</v>
      </c>
      <c r="Y102" s="51">
        <v>185</v>
      </c>
      <c r="Z102" s="63">
        <f t="shared" si="192"/>
        <v>90.38814662169418</v>
      </c>
      <c r="AA102" s="102">
        <f t="shared" si="177"/>
        <v>169.34936198248423</v>
      </c>
      <c r="AB102" s="51">
        <v>200</v>
      </c>
      <c r="AC102" s="63">
        <f>(C102-250*SQRT((98+101.325)/101.325-1))*D102/C102</f>
        <v>88.45484207000555</v>
      </c>
      <c r="AD102" s="102">
        <f>D102*98/98*1.634*1+4*POWER(C102/950,2.25)</f>
        <v>187.3418445035287</v>
      </c>
      <c r="AE102" s="51">
        <v>220</v>
      </c>
      <c r="AF102" s="78">
        <v>4</v>
      </c>
    </row>
    <row r="103" spans="1:32" ht="45" customHeight="1">
      <c r="A103" s="139"/>
      <c r="B103" s="133"/>
      <c r="C103" s="51">
        <v>1400</v>
      </c>
      <c r="D103" s="77">
        <f t="shared" si="178"/>
        <v>123.32668557876244</v>
      </c>
      <c r="E103" s="102">
        <f t="shared" si="179"/>
        <v>113.64081275565344</v>
      </c>
      <c r="F103" s="63">
        <f t="shared" si="193"/>
        <v>49.87443948861599</v>
      </c>
      <c r="G103" s="103">
        <v>75</v>
      </c>
      <c r="H103" s="102">
        <f t="shared" si="180"/>
        <v>111.46396251370854</v>
      </c>
      <c r="I103" s="63">
        <f t="shared" si="181"/>
        <v>70.02601991218577</v>
      </c>
      <c r="J103" s="51">
        <v>90</v>
      </c>
      <c r="K103" s="102">
        <f t="shared" si="182"/>
        <v>109.62879286890072</v>
      </c>
      <c r="L103" s="63">
        <f t="shared" si="183"/>
        <v>90.17760033575556</v>
      </c>
      <c r="M103" s="51">
        <v>110</v>
      </c>
      <c r="N103" s="102">
        <f t="shared" si="184"/>
        <v>108.01197595488765</v>
      </c>
      <c r="O103" s="102">
        <f t="shared" si="185"/>
        <v>110.32918075932535</v>
      </c>
      <c r="P103" s="51">
        <v>132</v>
      </c>
      <c r="Q103" s="102">
        <f t="shared" si="186"/>
        <v>106.55026173348708</v>
      </c>
      <c r="R103" s="102">
        <f t="shared" si="187"/>
        <v>130.48076118289512</v>
      </c>
      <c r="S103" s="51">
        <v>160</v>
      </c>
      <c r="T103" s="102">
        <f t="shared" si="188"/>
        <v>105.20607678079308</v>
      </c>
      <c r="U103" s="102">
        <f t="shared" si="189"/>
        <v>150.63234160646488</v>
      </c>
      <c r="V103" s="51">
        <v>185</v>
      </c>
      <c r="W103" s="102">
        <f t="shared" si="190"/>
        <v>103.95493993254448</v>
      </c>
      <c r="X103" s="102">
        <f t="shared" si="191"/>
        <v>170.78392203003466</v>
      </c>
      <c r="Y103" s="51">
        <v>200</v>
      </c>
      <c r="Z103" s="102">
        <f t="shared" si="192"/>
        <v>103.60172007656158</v>
      </c>
      <c r="AA103" s="102">
        <f t="shared" si="177"/>
        <v>190.93550245360444</v>
      </c>
      <c r="AB103" s="51">
        <v>220</v>
      </c>
      <c r="AC103" s="102">
        <f>(C103-250*SQRT((98+101.325)/101.325-1))*D103/C103</f>
        <v>101.66841552487296</v>
      </c>
      <c r="AD103" s="102">
        <f>D103*98/98*1.634*1+4*POWER(C103/950,2.25)</f>
        <v>211.08708287717425</v>
      </c>
      <c r="AE103" s="51">
        <v>250</v>
      </c>
      <c r="AF103" s="78">
        <v>4</v>
      </c>
    </row>
    <row r="104" spans="1:32" ht="45" customHeight="1">
      <c r="A104" s="139"/>
      <c r="B104" s="133"/>
      <c r="C104" s="51">
        <v>1480</v>
      </c>
      <c r="D104" s="77">
        <f t="shared" si="178"/>
        <v>130.3739247546917</v>
      </c>
      <c r="E104" s="102">
        <f t="shared" si="179"/>
        <v>120.68805193158272</v>
      </c>
      <c r="F104" s="63">
        <f t="shared" si="193"/>
        <v>53.45222705425461</v>
      </c>
      <c r="G104" s="102">
        <v>75</v>
      </c>
      <c r="H104" s="102">
        <f t="shared" si="180"/>
        <v>118.5112016896378</v>
      </c>
      <c r="I104" s="63">
        <f t="shared" si="181"/>
        <v>74.75532635917122</v>
      </c>
      <c r="J104" s="51">
        <v>90</v>
      </c>
      <c r="K104" s="102">
        <f t="shared" si="182"/>
        <v>116.67603204483</v>
      </c>
      <c r="L104" s="63">
        <f t="shared" si="183"/>
        <v>96.05842566408785</v>
      </c>
      <c r="M104" s="51">
        <v>110</v>
      </c>
      <c r="N104" s="102">
        <f t="shared" si="184"/>
        <v>115.05921513081691</v>
      </c>
      <c r="O104" s="102">
        <f t="shared" si="185"/>
        <v>117.36152496900448</v>
      </c>
      <c r="P104" s="51">
        <v>132</v>
      </c>
      <c r="Q104" s="102">
        <f t="shared" si="186"/>
        <v>113.59750090941635</v>
      </c>
      <c r="R104" s="102">
        <f t="shared" si="187"/>
        <v>138.66462427392108</v>
      </c>
      <c r="S104" s="51">
        <v>160</v>
      </c>
      <c r="T104" s="102">
        <f t="shared" si="188"/>
        <v>112.25331595672233</v>
      </c>
      <c r="U104" s="102">
        <f t="shared" si="189"/>
        <v>159.9677235788377</v>
      </c>
      <c r="V104" s="51">
        <v>185</v>
      </c>
      <c r="W104" s="102">
        <f t="shared" si="190"/>
        <v>111.00217910847374</v>
      </c>
      <c r="X104" s="102">
        <f t="shared" si="191"/>
        <v>181.27082288375433</v>
      </c>
      <c r="Y104" s="51">
        <v>200</v>
      </c>
      <c r="Z104" s="102">
        <f t="shared" si="192"/>
        <v>110.64895925249085</v>
      </c>
      <c r="AA104" s="102">
        <f t="shared" si="177"/>
        <v>202.573922188671</v>
      </c>
      <c r="AB104" s="51">
        <v>220</v>
      </c>
      <c r="AC104" s="102">
        <f>(C104-250*SQRT((98+101.325)/101.325-1))*D104/C104</f>
        <v>108.7156547008022</v>
      </c>
      <c r="AD104" s="102">
        <f>D104*98/98*1.634*1+4*POWER(C104/950,2.25)</f>
        <v>223.8770214935876</v>
      </c>
      <c r="AE104" s="51">
        <v>250</v>
      </c>
      <c r="AF104" s="78">
        <v>4</v>
      </c>
    </row>
    <row r="105" spans="1:32" ht="45" customHeight="1">
      <c r="A105" s="139"/>
      <c r="B105" s="133"/>
      <c r="C105" s="51">
        <v>1580</v>
      </c>
      <c r="D105" s="77">
        <f t="shared" si="178"/>
        <v>139.18297372460333</v>
      </c>
      <c r="E105" s="102">
        <f t="shared" si="179"/>
        <v>129.49710090149435</v>
      </c>
      <c r="F105" s="63">
        <f t="shared" si="193"/>
        <v>58.049933093071026</v>
      </c>
      <c r="G105" s="102">
        <v>75</v>
      </c>
      <c r="H105" s="102">
        <f t="shared" si="180"/>
        <v>127.32025065954944</v>
      </c>
      <c r="I105" s="63">
        <f t="shared" si="181"/>
        <v>80.79243099967121</v>
      </c>
      <c r="J105" s="51">
        <v>90</v>
      </c>
      <c r="K105" s="102">
        <f t="shared" si="182"/>
        <v>125.48508101474161</v>
      </c>
      <c r="L105" s="102">
        <f t="shared" si="183"/>
        <v>103.5349289062714</v>
      </c>
      <c r="M105" s="51">
        <v>132</v>
      </c>
      <c r="N105" s="102">
        <f t="shared" si="184"/>
        <v>123.86826410072854</v>
      </c>
      <c r="O105" s="102">
        <f t="shared" si="185"/>
        <v>126.27742681287158</v>
      </c>
      <c r="P105" s="51">
        <v>160</v>
      </c>
      <c r="Q105" s="102">
        <f t="shared" si="186"/>
        <v>122.40654987932798</v>
      </c>
      <c r="R105" s="102">
        <f t="shared" si="187"/>
        <v>149.01992471947176</v>
      </c>
      <c r="S105" s="51">
        <v>185</v>
      </c>
      <c r="T105" s="102">
        <f t="shared" si="188"/>
        <v>121.06236492663396</v>
      </c>
      <c r="U105" s="102">
        <f t="shared" si="189"/>
        <v>171.76242262607192</v>
      </c>
      <c r="V105" s="51">
        <v>200</v>
      </c>
      <c r="W105" s="102">
        <f t="shared" si="190"/>
        <v>119.81122807838535</v>
      </c>
      <c r="X105" s="102">
        <f t="shared" si="191"/>
        <v>194.50492053267214</v>
      </c>
      <c r="Y105" s="51">
        <v>220</v>
      </c>
      <c r="Z105" s="102">
        <f t="shared" si="192"/>
        <v>119.45800822240247</v>
      </c>
      <c r="AA105" s="102">
        <f t="shared" si="177"/>
        <v>217.24741843927234</v>
      </c>
      <c r="AB105" s="51">
        <v>250</v>
      </c>
      <c r="AC105" s="63"/>
      <c r="AD105" s="63"/>
      <c r="AE105" s="51"/>
      <c r="AF105" s="78">
        <v>4</v>
      </c>
    </row>
    <row r="106" spans="1:32" ht="45" customHeight="1">
      <c r="A106" s="139"/>
      <c r="B106" s="133"/>
      <c r="C106" s="51">
        <v>1680</v>
      </c>
      <c r="D106" s="77">
        <f t="shared" si="178"/>
        <v>147.99202269451493</v>
      </c>
      <c r="E106" s="102">
        <f t="shared" si="179"/>
        <v>138.30614987140592</v>
      </c>
      <c r="F106" s="63">
        <f>D106*19.6/98*1.634*1+4*POWER(C106/950,2.25)</f>
        <v>62.78918965588609</v>
      </c>
      <c r="G106" s="102">
        <v>75</v>
      </c>
      <c r="H106" s="102">
        <f t="shared" si="180"/>
        <v>136.12929962946103</v>
      </c>
      <c r="I106" s="63">
        <f>D106*29.4/98*1.634*1+4*POWER(C106/950,2.25)</f>
        <v>86.97108616416983</v>
      </c>
      <c r="J106" s="51">
        <v>110</v>
      </c>
      <c r="K106" s="102">
        <f t="shared" si="182"/>
        <v>134.2941299846532</v>
      </c>
      <c r="L106" s="102">
        <f>D106*39.2/98*1.634*1+4*POWER(C106/950,2.25)</f>
        <v>111.15298267245358</v>
      </c>
      <c r="M106" s="51">
        <v>132</v>
      </c>
      <c r="N106" s="102">
        <f t="shared" si="184"/>
        <v>132.67731307064014</v>
      </c>
      <c r="O106" s="102">
        <f>D106*49/98*1.634*1+4*POWER(C106/950,2.25)</f>
        <v>135.3348791807373</v>
      </c>
      <c r="P106" s="51">
        <v>160</v>
      </c>
      <c r="Q106" s="102">
        <f t="shared" si="186"/>
        <v>131.21559884923957</v>
      </c>
      <c r="R106" s="102">
        <f>D106*58.8/98*1.634*1+4*POWER(C106/950,2.25)</f>
        <v>159.51677568902105</v>
      </c>
      <c r="S106" s="51">
        <v>185</v>
      </c>
      <c r="T106" s="102">
        <f t="shared" si="188"/>
        <v>129.87141389654556</v>
      </c>
      <c r="U106" s="102">
        <f>D106*68.6/98*1.634*1+4*POWER(C106/950,2.25)</f>
        <v>183.69867219730477</v>
      </c>
      <c r="V106" s="104">
        <v>220</v>
      </c>
      <c r="W106" s="102">
        <f t="shared" si="190"/>
        <v>128.62027704829697</v>
      </c>
      <c r="X106" s="102">
        <f>D106*78.4/98*1.634*1+4*POWER(C106/950,2.25)</f>
        <v>207.88056870558853</v>
      </c>
      <c r="Y106" s="104">
        <v>250</v>
      </c>
      <c r="Z106" s="102">
        <f t="shared" si="192"/>
        <v>128.26705719231407</v>
      </c>
      <c r="AA106" s="102">
        <f>D106*88.2/98*1.634*1+4*POWER(C106/950,2.25)</f>
        <v>232.0624652138723</v>
      </c>
      <c r="AB106" s="51">
        <v>250</v>
      </c>
      <c r="AC106" s="63"/>
      <c r="AD106" s="63"/>
      <c r="AE106" s="51"/>
      <c r="AF106" s="78">
        <v>4</v>
      </c>
    </row>
    <row r="107" spans="1:32" ht="45" customHeight="1">
      <c r="A107" s="142"/>
      <c r="B107" s="134"/>
      <c r="C107" s="64">
        <v>1780</v>
      </c>
      <c r="D107" s="90">
        <f t="shared" si="178"/>
        <v>156.80107166442653</v>
      </c>
      <c r="E107" s="93">
        <f t="shared" si="179"/>
        <v>147.11519884131755</v>
      </c>
      <c r="F107" s="75">
        <f t="shared" si="193"/>
        <v>67.67218622971293</v>
      </c>
      <c r="G107" s="114">
        <v>90</v>
      </c>
      <c r="H107" s="93">
        <f t="shared" si="180"/>
        <v>144.93834859937263</v>
      </c>
      <c r="I107" s="75">
        <f t="shared" si="181"/>
        <v>93.29348133968021</v>
      </c>
      <c r="J107" s="64">
        <v>110</v>
      </c>
      <c r="K107" s="93">
        <f t="shared" si="182"/>
        <v>143.1031789545648</v>
      </c>
      <c r="L107" s="93">
        <f t="shared" si="183"/>
        <v>118.91477644964752</v>
      </c>
      <c r="M107" s="64">
        <v>132</v>
      </c>
      <c r="N107" s="93">
        <f t="shared" si="184"/>
        <v>141.48636204055174</v>
      </c>
      <c r="O107" s="93">
        <f t="shared" si="185"/>
        <v>144.5360715596148</v>
      </c>
      <c r="P107" s="64">
        <v>160</v>
      </c>
      <c r="Q107" s="93">
        <f t="shared" si="186"/>
        <v>140.02464781915117</v>
      </c>
      <c r="R107" s="93">
        <f t="shared" si="187"/>
        <v>170.15736666958207</v>
      </c>
      <c r="S107" s="115">
        <v>200</v>
      </c>
      <c r="T107" s="93">
        <f t="shared" si="188"/>
        <v>138.68046286645716</v>
      </c>
      <c r="U107" s="93">
        <f t="shared" si="189"/>
        <v>195.7786617795494</v>
      </c>
      <c r="V107" s="64">
        <v>220</v>
      </c>
      <c r="W107" s="93">
        <f t="shared" si="190"/>
        <v>137.42932601820857</v>
      </c>
      <c r="X107" s="93">
        <f t="shared" si="191"/>
        <v>221.3999568895167</v>
      </c>
      <c r="Y107" s="64">
        <v>250</v>
      </c>
      <c r="Z107" s="75"/>
      <c r="AA107" s="75"/>
      <c r="AB107" s="64"/>
      <c r="AC107" s="75"/>
      <c r="AD107" s="75"/>
      <c r="AE107" s="64"/>
      <c r="AF107" s="92">
        <v>4</v>
      </c>
    </row>
    <row r="108" spans="1:32" ht="45" customHeight="1">
      <c r="A108" s="141" t="s">
        <v>23</v>
      </c>
      <c r="B108" s="132">
        <v>300</v>
      </c>
      <c r="C108" s="68">
        <v>980</v>
      </c>
      <c r="D108" s="76">
        <f>PI()/2*0.526*POWER(0.405,2)*0.8*C108</f>
        <v>106.25068296016455</v>
      </c>
      <c r="E108" s="111">
        <f>(C108-240*SQRT((19.6+101.325)/101.325-1))*D108/C108</f>
        <v>94.80645168609117</v>
      </c>
      <c r="F108" s="71">
        <f>D108*19.6/98*1.634*1+4.8*POWER(C108/950,2.5)</f>
        <v>39.91069268154244</v>
      </c>
      <c r="G108" s="113">
        <v>55</v>
      </c>
      <c r="H108" s="111">
        <f>(C108-240*SQRT((29.4+101.325)/101.325-1))*D108/C108</f>
        <v>92.23441940022394</v>
      </c>
      <c r="I108" s="71">
        <f>D108*29.4/98*1.634*1+4.8*POWER(C108/950,2.5)</f>
        <v>57.27205427723332</v>
      </c>
      <c r="J108" s="68">
        <v>75</v>
      </c>
      <c r="K108" s="71">
        <f>(C108-240*SQRT((39.2+101.325)/101.325-1))*D108/C108</f>
        <v>90.06609588143564</v>
      </c>
      <c r="L108" s="71">
        <f>D108*39.2/98*1.634*1+4.8*POWER(C108/950,2.5)</f>
        <v>74.63341587292422</v>
      </c>
      <c r="M108" s="68">
        <v>90</v>
      </c>
      <c r="N108" s="71">
        <f>(C108-240*SQRT((49+101.325)/101.325-1))*D108/C108</f>
        <v>88.15576451226327</v>
      </c>
      <c r="O108" s="71">
        <f>D108*49/98*1.634*1+4.8*POWER(C108/950,2.5)</f>
        <v>91.9947774686151</v>
      </c>
      <c r="P108" s="68">
        <v>110</v>
      </c>
      <c r="Q108" s="71">
        <f>(C108-240*SQRT((58.8+101.325)/101.325-1))*D108/C108</f>
        <v>86.42869293990074</v>
      </c>
      <c r="R108" s="112">
        <f>D108*58.8/98*1.634*1+4.8*POWER(C108/950,2.5)</f>
        <v>109.35613906430598</v>
      </c>
      <c r="S108" s="68">
        <v>132</v>
      </c>
      <c r="T108" s="71">
        <f>(C108-240*SQRT((68.6+101.325)/101.325-1))*D108/C108</f>
        <v>84.84048671887153</v>
      </c>
      <c r="U108" s="112">
        <f>D108*68.6/98*1.634*1+4.8*POWER(C108/950,2.5)</f>
        <v>126.71750065999687</v>
      </c>
      <c r="V108" s="68">
        <v>160</v>
      </c>
      <c r="W108" s="89"/>
      <c r="X108" s="63"/>
      <c r="Y108" s="51"/>
      <c r="Z108" s="63"/>
      <c r="AA108" s="63"/>
      <c r="AB108" s="51"/>
      <c r="AC108" s="63"/>
      <c r="AD108" s="63"/>
      <c r="AE108" s="51"/>
      <c r="AF108" s="61">
        <v>4</v>
      </c>
    </row>
    <row r="109" spans="1:32" ht="45" customHeight="1">
      <c r="A109" s="139"/>
      <c r="B109" s="133"/>
      <c r="C109" s="51">
        <v>1120</v>
      </c>
      <c r="D109" s="77">
        <f aca="true" t="shared" si="194" ref="D109:D115">PI()/2*0.526*POWER(0.405,2)*0.8*C109</f>
        <v>121.42935195447377</v>
      </c>
      <c r="E109" s="102">
        <f aca="true" t="shared" si="195" ref="E109:E115">(C109-240*SQRT((19.6+101.325)/101.325-1))*D109/C109</f>
        <v>109.98512068040039</v>
      </c>
      <c r="F109" s="63">
        <f aca="true" t="shared" si="196" ref="F109:F115">D109*19.6/98*1.634*1+4.8*POWER(C109/950,2.5)</f>
        <v>46.92709285647083</v>
      </c>
      <c r="G109" s="102">
        <v>55</v>
      </c>
      <c r="H109" s="102">
        <f aca="true" t="shared" si="197" ref="H109:H115">(C109-240*SQRT((29.4+101.325)/101.325-1))*D109/C109</f>
        <v>107.41308839453318</v>
      </c>
      <c r="I109" s="63">
        <f aca="true" t="shared" si="198" ref="I109:I115">D109*29.4/98*1.634*1+4.8*POWER(C109/950,2.5)</f>
        <v>66.76864896583184</v>
      </c>
      <c r="J109" s="104">
        <v>90</v>
      </c>
      <c r="K109" s="102">
        <f aca="true" t="shared" si="199" ref="K109:K115">(C109-240*SQRT((39.2+101.325)/101.325-1))*D109/C109</f>
        <v>105.24476487574486</v>
      </c>
      <c r="L109" s="63">
        <f aca="true" t="shared" si="200" ref="L109:L115">D109*39.2/98*1.634*1+4.8*POWER(C109/950,2.5)</f>
        <v>86.61020507519285</v>
      </c>
      <c r="M109" s="51">
        <v>110</v>
      </c>
      <c r="N109" s="102">
        <f aca="true" t="shared" si="201" ref="N109:N115">(C109-240*SQRT((49+101.325)/101.325-1))*D109/C109</f>
        <v>103.3344335065725</v>
      </c>
      <c r="O109" s="102">
        <f aca="true" t="shared" si="202" ref="O109:O115">D109*49/98*1.634*1+4.8*POWER(C109/950,2.5)</f>
        <v>106.45176118455387</v>
      </c>
      <c r="P109" s="51">
        <v>132</v>
      </c>
      <c r="Q109" s="102">
        <f aca="true" t="shared" si="203" ref="Q109:Q115">(C109-240*SQRT((58.8+101.325)/101.325-1))*D109/C109</f>
        <v>101.60736193420998</v>
      </c>
      <c r="R109" s="102">
        <f aca="true" t="shared" si="204" ref="R109:R115">D109*58.8/98*1.634*1+4.8*POWER(C109/950,2.5)</f>
        <v>126.29331729391488</v>
      </c>
      <c r="S109" s="51">
        <v>160</v>
      </c>
      <c r="T109" s="102">
        <f aca="true" t="shared" si="205" ref="T109:T114">(C109-240*SQRT((68.6+101.325)/101.325-1))*D109/C109</f>
        <v>100.01915571318075</v>
      </c>
      <c r="U109" s="102">
        <f aca="true" t="shared" si="206" ref="U109:U114">D109*68.6/98*1.634*1+4.8*POWER(C109/950,2.5)</f>
        <v>146.1348734032759</v>
      </c>
      <c r="V109" s="51">
        <v>160</v>
      </c>
      <c r="W109" s="89"/>
      <c r="X109" s="63"/>
      <c r="Y109" s="51"/>
      <c r="Z109" s="63"/>
      <c r="AA109" s="63"/>
      <c r="AB109" s="51"/>
      <c r="AC109" s="63"/>
      <c r="AD109" s="63"/>
      <c r="AE109" s="51"/>
      <c r="AF109" s="62">
        <v>4</v>
      </c>
    </row>
    <row r="110" spans="1:32" ht="45" customHeight="1">
      <c r="A110" s="139"/>
      <c r="B110" s="133"/>
      <c r="C110" s="51">
        <v>1250</v>
      </c>
      <c r="D110" s="77">
        <f t="shared" si="194"/>
        <v>135.52383030633234</v>
      </c>
      <c r="E110" s="102">
        <f t="shared" si="195"/>
        <v>124.07959903225894</v>
      </c>
      <c r="F110" s="63">
        <f t="shared" si="196"/>
        <v>53.821697461722785</v>
      </c>
      <c r="G110" s="102">
        <v>75</v>
      </c>
      <c r="H110" s="102">
        <f t="shared" si="197"/>
        <v>121.50756674639173</v>
      </c>
      <c r="I110" s="63">
        <f t="shared" si="198"/>
        <v>75.96629133377746</v>
      </c>
      <c r="J110" s="51">
        <v>90</v>
      </c>
      <c r="K110" s="102">
        <f t="shared" si="199"/>
        <v>119.33924322760345</v>
      </c>
      <c r="L110" s="63">
        <f t="shared" si="200"/>
        <v>98.11088520583219</v>
      </c>
      <c r="M110" s="51">
        <v>110</v>
      </c>
      <c r="N110" s="102">
        <f t="shared" si="201"/>
        <v>117.42891185843106</v>
      </c>
      <c r="O110" s="102">
        <f t="shared" si="202"/>
        <v>120.25547907788689</v>
      </c>
      <c r="P110" s="104">
        <v>160</v>
      </c>
      <c r="Q110" s="102">
        <f t="shared" si="203"/>
        <v>115.70184028606855</v>
      </c>
      <c r="R110" s="102">
        <f t="shared" si="204"/>
        <v>142.40007294994157</v>
      </c>
      <c r="S110" s="51">
        <v>160</v>
      </c>
      <c r="T110" s="102">
        <f t="shared" si="205"/>
        <v>114.11363406503932</v>
      </c>
      <c r="U110" s="102">
        <f t="shared" si="206"/>
        <v>164.54466682199626</v>
      </c>
      <c r="V110" s="51">
        <v>185</v>
      </c>
      <c r="W110" s="89"/>
      <c r="X110" s="63"/>
      <c r="Y110" s="51"/>
      <c r="Z110" s="63"/>
      <c r="AA110" s="63"/>
      <c r="AB110" s="51"/>
      <c r="AC110" s="63"/>
      <c r="AD110" s="63"/>
      <c r="AE110" s="51"/>
      <c r="AF110" s="62">
        <v>4</v>
      </c>
    </row>
    <row r="111" spans="1:32" ht="45" customHeight="1">
      <c r="A111" s="139"/>
      <c r="B111" s="133"/>
      <c r="C111" s="51">
        <v>1400</v>
      </c>
      <c r="D111" s="77">
        <f t="shared" si="194"/>
        <v>151.7866899430922</v>
      </c>
      <c r="E111" s="102">
        <f t="shared" si="195"/>
        <v>140.34245866901878</v>
      </c>
      <c r="F111" s="63">
        <f t="shared" si="196"/>
        <v>62.25860365910457</v>
      </c>
      <c r="G111" s="102">
        <v>75</v>
      </c>
      <c r="H111" s="102">
        <f t="shared" si="197"/>
        <v>137.77042638315157</v>
      </c>
      <c r="I111" s="63">
        <f t="shared" si="198"/>
        <v>87.06054879580583</v>
      </c>
      <c r="J111" s="51">
        <v>110</v>
      </c>
      <c r="K111" s="102">
        <f t="shared" si="199"/>
        <v>135.6021028643633</v>
      </c>
      <c r="L111" s="102">
        <f t="shared" si="200"/>
        <v>111.8624939325071</v>
      </c>
      <c r="M111" s="51">
        <v>132</v>
      </c>
      <c r="N111" s="102">
        <f t="shared" si="201"/>
        <v>133.69177149519092</v>
      </c>
      <c r="O111" s="102">
        <f t="shared" si="202"/>
        <v>136.66443906920836</v>
      </c>
      <c r="P111" s="51">
        <v>160</v>
      </c>
      <c r="Q111" s="102">
        <f t="shared" si="203"/>
        <v>131.9646999228284</v>
      </c>
      <c r="R111" s="102">
        <f t="shared" si="204"/>
        <v>161.4663842059096</v>
      </c>
      <c r="S111" s="51">
        <v>185</v>
      </c>
      <c r="T111" s="102">
        <f t="shared" si="205"/>
        <v>130.37649370179918</v>
      </c>
      <c r="U111" s="102">
        <f t="shared" si="206"/>
        <v>186.26832934261085</v>
      </c>
      <c r="V111" s="104">
        <v>220</v>
      </c>
      <c r="W111" s="89"/>
      <c r="X111" s="63"/>
      <c r="Y111" s="51"/>
      <c r="Z111" s="63"/>
      <c r="AA111" s="63"/>
      <c r="AB111" s="51"/>
      <c r="AC111" s="63"/>
      <c r="AD111" s="63"/>
      <c r="AE111" s="51"/>
      <c r="AF111" s="62">
        <v>4</v>
      </c>
    </row>
    <row r="112" spans="1:32" ht="45" customHeight="1">
      <c r="A112" s="139"/>
      <c r="B112" s="133"/>
      <c r="C112" s="51">
        <v>1480</v>
      </c>
      <c r="D112" s="77">
        <f t="shared" si="194"/>
        <v>160.4602150826975</v>
      </c>
      <c r="E112" s="102">
        <f t="shared" si="195"/>
        <v>149.0159838086241</v>
      </c>
      <c r="F112" s="63">
        <f t="shared" si="196"/>
        <v>66.97913841156304</v>
      </c>
      <c r="G112" s="103">
        <v>90</v>
      </c>
      <c r="H112" s="102">
        <f t="shared" si="197"/>
        <v>146.44395152275686</v>
      </c>
      <c r="I112" s="63">
        <f t="shared" si="198"/>
        <v>93.19833755607581</v>
      </c>
      <c r="J112" s="51">
        <v>110</v>
      </c>
      <c r="K112" s="102">
        <f t="shared" si="199"/>
        <v>144.2756280039686</v>
      </c>
      <c r="L112" s="102">
        <f>D112*39.2/98*1.634*1+4.85*POWER(C112/950,2.5)</f>
        <v>119.56900274353168</v>
      </c>
      <c r="M112" s="104">
        <v>160</v>
      </c>
      <c r="N112" s="102">
        <f t="shared" si="201"/>
        <v>142.3652966347962</v>
      </c>
      <c r="O112" s="102">
        <f t="shared" si="202"/>
        <v>145.63673584510133</v>
      </c>
      <c r="P112" s="51">
        <v>185</v>
      </c>
      <c r="Q112" s="102">
        <f t="shared" si="203"/>
        <v>140.6382250624337</v>
      </c>
      <c r="R112" s="102">
        <f t="shared" si="204"/>
        <v>171.8559349896141</v>
      </c>
      <c r="S112" s="104">
        <v>200</v>
      </c>
      <c r="T112" s="102">
        <f t="shared" si="205"/>
        <v>139.05001884140447</v>
      </c>
      <c r="U112" s="102">
        <f t="shared" si="206"/>
        <v>198.07513413412684</v>
      </c>
      <c r="V112" s="51">
        <v>220</v>
      </c>
      <c r="W112" s="89"/>
      <c r="X112" s="63"/>
      <c r="Y112" s="51"/>
      <c r="Z112" s="63"/>
      <c r="AA112" s="63"/>
      <c r="AB112" s="51"/>
      <c r="AC112" s="63"/>
      <c r="AD112" s="63"/>
      <c r="AE112" s="51"/>
      <c r="AF112" s="62">
        <v>4</v>
      </c>
    </row>
    <row r="113" spans="1:32" ht="45" customHeight="1">
      <c r="A113" s="139"/>
      <c r="B113" s="133"/>
      <c r="C113" s="51">
        <v>1580</v>
      </c>
      <c r="D113" s="77">
        <f t="shared" si="194"/>
        <v>171.30212150720408</v>
      </c>
      <c r="E113" s="102">
        <f t="shared" si="195"/>
        <v>159.8578902331307</v>
      </c>
      <c r="F113" s="63">
        <f t="shared" si="196"/>
        <v>73.10433951963739</v>
      </c>
      <c r="G113" s="102">
        <v>90</v>
      </c>
      <c r="H113" s="102">
        <f t="shared" si="197"/>
        <v>157.28585794726345</v>
      </c>
      <c r="I113" s="102">
        <f t="shared" si="198"/>
        <v>101.09510617391453</v>
      </c>
      <c r="J113" s="104">
        <v>132</v>
      </c>
      <c r="K113" s="102">
        <f t="shared" si="199"/>
        <v>155.11753442847518</v>
      </c>
      <c r="L113" s="102">
        <f t="shared" si="200"/>
        <v>129.0858728281917</v>
      </c>
      <c r="M113" s="51">
        <v>160</v>
      </c>
      <c r="N113" s="102">
        <f t="shared" si="201"/>
        <v>153.2072030593028</v>
      </c>
      <c r="O113" s="102">
        <f t="shared" si="202"/>
        <v>157.0766394824688</v>
      </c>
      <c r="P113" s="51">
        <v>185</v>
      </c>
      <c r="Q113" s="102">
        <f t="shared" si="203"/>
        <v>151.48013148694028</v>
      </c>
      <c r="R113" s="102">
        <f t="shared" si="204"/>
        <v>185.06740613674597</v>
      </c>
      <c r="S113" s="104">
        <v>220</v>
      </c>
      <c r="T113" s="102">
        <f t="shared" si="205"/>
        <v>149.89192526591106</v>
      </c>
      <c r="U113" s="102">
        <f t="shared" si="206"/>
        <v>213.05817279102308</v>
      </c>
      <c r="V113" s="51">
        <v>250</v>
      </c>
      <c r="W113" s="89"/>
      <c r="X113" s="63"/>
      <c r="Y113" s="51"/>
      <c r="Z113" s="63"/>
      <c r="AA113" s="63"/>
      <c r="AB113" s="51"/>
      <c r="AC113" s="63"/>
      <c r="AD113" s="63"/>
      <c r="AE113" s="51"/>
      <c r="AF113" s="62">
        <v>4</v>
      </c>
    </row>
    <row r="114" spans="1:32" ht="45" customHeight="1">
      <c r="A114" s="139"/>
      <c r="B114" s="133"/>
      <c r="C114" s="51">
        <v>1680</v>
      </c>
      <c r="D114" s="77">
        <f t="shared" si="194"/>
        <v>182.14402793171067</v>
      </c>
      <c r="E114" s="102">
        <f t="shared" si="195"/>
        <v>170.69979665763728</v>
      </c>
      <c r="F114" s="63">
        <f t="shared" si="196"/>
        <v>79.4867316308044</v>
      </c>
      <c r="G114" s="102">
        <v>90</v>
      </c>
      <c r="H114" s="102">
        <f t="shared" si="197"/>
        <v>168.12776437177004</v>
      </c>
      <c r="I114" s="102">
        <f t="shared" si="198"/>
        <v>109.24906579484589</v>
      </c>
      <c r="J114" s="51">
        <v>132</v>
      </c>
      <c r="K114" s="102">
        <f t="shared" si="199"/>
        <v>165.9594408529818</v>
      </c>
      <c r="L114" s="102">
        <f t="shared" si="200"/>
        <v>139.01139995888744</v>
      </c>
      <c r="M114" s="51">
        <v>160</v>
      </c>
      <c r="N114" s="102">
        <f t="shared" si="201"/>
        <v>164.04910948380936</v>
      </c>
      <c r="O114" s="102">
        <f t="shared" si="202"/>
        <v>168.77373412292897</v>
      </c>
      <c r="P114" s="104">
        <v>200</v>
      </c>
      <c r="Q114" s="102">
        <f t="shared" si="203"/>
        <v>162.32203791144687</v>
      </c>
      <c r="R114" s="102">
        <f t="shared" si="204"/>
        <v>198.53606828697045</v>
      </c>
      <c r="S114" s="51">
        <v>220</v>
      </c>
      <c r="T114" s="102">
        <f t="shared" si="205"/>
        <v>160.73383169041765</v>
      </c>
      <c r="U114" s="102">
        <f t="shared" si="206"/>
        <v>228.29840245101198</v>
      </c>
      <c r="V114" s="51">
        <v>250</v>
      </c>
      <c r="W114" s="89"/>
      <c r="X114" s="63"/>
      <c r="Y114" s="51"/>
      <c r="Z114" s="63"/>
      <c r="AA114" s="63"/>
      <c r="AB114" s="51"/>
      <c r="AC114" s="63"/>
      <c r="AD114" s="63"/>
      <c r="AE114" s="51"/>
      <c r="AF114" s="62">
        <v>4</v>
      </c>
    </row>
    <row r="115" spans="1:32" ht="45" customHeight="1" thickBot="1">
      <c r="A115" s="152"/>
      <c r="B115" s="163"/>
      <c r="C115" s="47">
        <v>1780</v>
      </c>
      <c r="D115" s="79">
        <f t="shared" si="194"/>
        <v>192.98593435621723</v>
      </c>
      <c r="E115" s="98">
        <f t="shared" si="195"/>
        <v>181.54170308214384</v>
      </c>
      <c r="F115" s="96">
        <f t="shared" si="196"/>
        <v>86.13433139987951</v>
      </c>
      <c r="G115" s="117">
        <v>110</v>
      </c>
      <c r="H115" s="98">
        <f t="shared" si="197"/>
        <v>178.96967079627663</v>
      </c>
      <c r="I115" s="98">
        <f t="shared" si="198"/>
        <v>117.66823307368539</v>
      </c>
      <c r="J115" s="47">
        <v>132</v>
      </c>
      <c r="K115" s="98">
        <f t="shared" si="199"/>
        <v>176.80134727748836</v>
      </c>
      <c r="L115" s="98">
        <f t="shared" si="200"/>
        <v>149.2021347474913</v>
      </c>
      <c r="M115" s="118">
        <v>185</v>
      </c>
      <c r="N115" s="98">
        <f t="shared" si="201"/>
        <v>174.89101590831595</v>
      </c>
      <c r="O115" s="98">
        <f t="shared" si="202"/>
        <v>180.7360364212972</v>
      </c>
      <c r="P115" s="47">
        <v>200</v>
      </c>
      <c r="Q115" s="98">
        <f t="shared" si="203"/>
        <v>173.16394433595343</v>
      </c>
      <c r="R115" s="98">
        <f t="shared" si="204"/>
        <v>212.26993809510307</v>
      </c>
      <c r="S115" s="47">
        <v>250</v>
      </c>
      <c r="T115" s="96"/>
      <c r="U115" s="96"/>
      <c r="V115" s="47"/>
      <c r="W115" s="116"/>
      <c r="X115" s="96"/>
      <c r="Y115" s="47"/>
      <c r="Z115" s="96"/>
      <c r="AA115" s="96"/>
      <c r="AB115" s="47"/>
      <c r="AC115" s="96"/>
      <c r="AD115" s="96"/>
      <c r="AE115" s="47"/>
      <c r="AF115" s="99">
        <v>4</v>
      </c>
    </row>
  </sheetData>
  <sheetProtection/>
  <mergeCells count="65">
    <mergeCell ref="B100:B107"/>
    <mergeCell ref="B108:B115"/>
    <mergeCell ref="AF82:AF83"/>
    <mergeCell ref="B80:B81"/>
    <mergeCell ref="H82:J82"/>
    <mergeCell ref="K82:M82"/>
    <mergeCell ref="N82:P82"/>
    <mergeCell ref="Q82:S82"/>
    <mergeCell ref="T82:V82"/>
    <mergeCell ref="W82:Y82"/>
    <mergeCell ref="B2:B3"/>
    <mergeCell ref="B6:B13"/>
    <mergeCell ref="E2:AE3"/>
    <mergeCell ref="E41:G41"/>
    <mergeCell ref="AC41:AE41"/>
    <mergeCell ref="B14:B21"/>
    <mergeCell ref="B22:B29"/>
    <mergeCell ref="B39:B40"/>
    <mergeCell ref="Q4:S4"/>
    <mergeCell ref="K4:M4"/>
    <mergeCell ref="N4:P4"/>
    <mergeCell ref="E39:AE40"/>
    <mergeCell ref="A38:AF38"/>
    <mergeCell ref="A22:A29"/>
    <mergeCell ref="A6:A13"/>
    <mergeCell ref="A39:A40"/>
    <mergeCell ref="A14:A21"/>
    <mergeCell ref="A30:A36"/>
    <mergeCell ref="A100:A107"/>
    <mergeCell ref="A108:A115"/>
    <mergeCell ref="A50:A56"/>
    <mergeCell ref="A84:A91"/>
    <mergeCell ref="A71:A77"/>
    <mergeCell ref="A57:A63"/>
    <mergeCell ref="A64:A70"/>
    <mergeCell ref="A80:A81"/>
    <mergeCell ref="A82:A83"/>
    <mergeCell ref="A92:A99"/>
    <mergeCell ref="A1:AF1"/>
    <mergeCell ref="H4:J4"/>
    <mergeCell ref="Z4:AB4"/>
    <mergeCell ref="W4:Y4"/>
    <mergeCell ref="T4:V4"/>
    <mergeCell ref="A2:A3"/>
    <mergeCell ref="AC4:AE4"/>
    <mergeCell ref="AF4:AF5"/>
    <mergeCell ref="A4:A5"/>
    <mergeCell ref="E4:G4"/>
    <mergeCell ref="B84:B91"/>
    <mergeCell ref="B92:B99"/>
    <mergeCell ref="A79:AF79"/>
    <mergeCell ref="Q41:S41"/>
    <mergeCell ref="T41:V41"/>
    <mergeCell ref="W41:Y41"/>
    <mergeCell ref="Z41:AB41"/>
    <mergeCell ref="AF41:AF42"/>
    <mergeCell ref="H41:J41"/>
    <mergeCell ref="K41:M41"/>
    <mergeCell ref="E82:G82"/>
    <mergeCell ref="A41:A42"/>
    <mergeCell ref="A43:A49"/>
    <mergeCell ref="E80:AE81"/>
    <mergeCell ref="N41:P41"/>
    <mergeCell ref="Z82:AB82"/>
    <mergeCell ref="AC82:AE82"/>
  </mergeCells>
  <printOptions/>
  <pageMargins left="0.72" right="0.46" top="1.06" bottom="0.59" header="0.5118110236220472" footer="0.23"/>
  <pageSetup horizontalDpi="300" verticalDpi="300" orientation="landscape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22"/>
  <sheetViews>
    <sheetView zoomScale="35" zoomScaleNormal="35" workbookViewId="0" topLeftCell="A1">
      <selection activeCell="E80" sqref="E80:AE81"/>
    </sheetView>
  </sheetViews>
  <sheetFormatPr defaultColWidth="9.00390625" defaultRowHeight="14.25"/>
  <cols>
    <col min="1" max="1" width="15.625" style="27" customWidth="1"/>
    <col min="2" max="2" width="13.125" style="27" customWidth="1"/>
    <col min="3" max="3" width="17.125" style="3" customWidth="1"/>
    <col min="4" max="4" width="21.125" style="18" customWidth="1"/>
    <col min="5" max="6" width="15.625" style="18" customWidth="1"/>
    <col min="7" max="7" width="13.625" style="18" customWidth="1"/>
    <col min="8" max="8" width="15.625" style="17" customWidth="1"/>
    <col min="9" max="9" width="15.625" style="22" customWidth="1"/>
    <col min="10" max="10" width="13.625" style="3" customWidth="1"/>
    <col min="11" max="11" width="15.625" style="18" customWidth="1"/>
    <col min="12" max="12" width="15.625" style="22" customWidth="1"/>
    <col min="13" max="13" width="13.625" style="3" customWidth="1"/>
    <col min="14" max="14" width="15.625" style="3" customWidth="1"/>
    <col min="15" max="15" width="15.625" style="19" customWidth="1"/>
    <col min="16" max="16" width="13.625" style="3" customWidth="1"/>
    <col min="17" max="17" width="15.625" style="3" customWidth="1"/>
    <col min="18" max="18" width="15.625" style="19" customWidth="1"/>
    <col min="19" max="19" width="13.625" style="3" customWidth="1"/>
    <col min="20" max="20" width="15.625" style="3" customWidth="1"/>
    <col min="21" max="21" width="15.625" style="19" customWidth="1"/>
    <col min="22" max="22" width="13.625" style="3" customWidth="1"/>
    <col min="23" max="23" width="15.625" style="3" customWidth="1"/>
    <col min="24" max="24" width="15.625" style="19" customWidth="1"/>
    <col min="25" max="25" width="13.625" style="3" customWidth="1"/>
    <col min="26" max="26" width="15.625" style="3" customWidth="1"/>
    <col min="27" max="27" width="15.625" style="19" customWidth="1"/>
    <col min="28" max="28" width="13.625" style="3" customWidth="1"/>
    <col min="29" max="29" width="15.625" style="3" customWidth="1"/>
    <col min="30" max="30" width="15.625" style="19" customWidth="1"/>
    <col min="31" max="31" width="13.625" style="3" customWidth="1"/>
    <col min="32" max="32" width="15.00390625" style="3" customWidth="1"/>
    <col min="33" max="16384" width="9.00390625" style="3" customWidth="1"/>
  </cols>
  <sheetData>
    <row r="1" spans="1:32" ht="96.75" customHeight="1" thickBot="1">
      <c r="A1" s="168" t="s">
        <v>103</v>
      </c>
      <c r="B1" s="169"/>
      <c r="C1" s="170"/>
      <c r="D1" s="170"/>
      <c r="E1" s="170"/>
      <c r="F1" s="170"/>
      <c r="G1" s="170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2" ht="45" customHeight="1">
      <c r="A2" s="172" t="s">
        <v>67</v>
      </c>
      <c r="B2" s="174" t="s">
        <v>24</v>
      </c>
      <c r="C2" s="124" t="s">
        <v>68</v>
      </c>
      <c r="D2" s="125" t="s">
        <v>69</v>
      </c>
      <c r="E2" s="176" t="s">
        <v>90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8"/>
      <c r="AF2" s="126" t="s">
        <v>71</v>
      </c>
    </row>
    <row r="3" spans="1:32" ht="45" customHeight="1">
      <c r="A3" s="173"/>
      <c r="B3" s="175"/>
      <c r="C3" s="1" t="s">
        <v>72</v>
      </c>
      <c r="D3" s="128" t="s">
        <v>12</v>
      </c>
      <c r="E3" s="179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1"/>
      <c r="AF3" s="127" t="s">
        <v>73</v>
      </c>
    </row>
    <row r="4" spans="1:32" ht="45" customHeight="1">
      <c r="A4" s="173" t="s">
        <v>74</v>
      </c>
      <c r="B4" s="1" t="s">
        <v>75</v>
      </c>
      <c r="C4" s="1" t="s">
        <v>76</v>
      </c>
      <c r="D4" s="5" t="s">
        <v>77</v>
      </c>
      <c r="E4" s="164" t="s">
        <v>91</v>
      </c>
      <c r="F4" s="165"/>
      <c r="G4" s="165"/>
      <c r="H4" s="164" t="s">
        <v>92</v>
      </c>
      <c r="I4" s="165"/>
      <c r="J4" s="165"/>
      <c r="K4" s="164" t="s">
        <v>93</v>
      </c>
      <c r="L4" s="165"/>
      <c r="M4" s="165"/>
      <c r="N4" s="164" t="s">
        <v>94</v>
      </c>
      <c r="O4" s="165"/>
      <c r="P4" s="165"/>
      <c r="Q4" s="164" t="s">
        <v>95</v>
      </c>
      <c r="R4" s="165"/>
      <c r="S4" s="165"/>
      <c r="T4" s="164" t="s">
        <v>96</v>
      </c>
      <c r="U4" s="165"/>
      <c r="V4" s="165"/>
      <c r="W4" s="164" t="s">
        <v>97</v>
      </c>
      <c r="X4" s="165"/>
      <c r="Y4" s="165"/>
      <c r="Z4" s="164" t="s">
        <v>98</v>
      </c>
      <c r="AA4" s="165"/>
      <c r="AB4" s="165"/>
      <c r="AC4" s="164" t="s">
        <v>99</v>
      </c>
      <c r="AD4" s="165"/>
      <c r="AE4" s="166"/>
      <c r="AF4" s="167" t="s">
        <v>27</v>
      </c>
    </row>
    <row r="5" spans="1:63" ht="45" customHeight="1">
      <c r="A5" s="182"/>
      <c r="B5" s="33" t="s">
        <v>86</v>
      </c>
      <c r="C5" s="33" t="s">
        <v>87</v>
      </c>
      <c r="D5" s="34" t="s">
        <v>89</v>
      </c>
      <c r="E5" s="35" t="s">
        <v>63</v>
      </c>
      <c r="F5" s="36" t="s">
        <v>64</v>
      </c>
      <c r="G5" s="37" t="s">
        <v>65</v>
      </c>
      <c r="H5" s="35" t="s">
        <v>63</v>
      </c>
      <c r="I5" s="36" t="s">
        <v>64</v>
      </c>
      <c r="J5" s="37" t="s">
        <v>65</v>
      </c>
      <c r="K5" s="35" t="s">
        <v>63</v>
      </c>
      <c r="L5" s="36" t="s">
        <v>64</v>
      </c>
      <c r="M5" s="37" t="s">
        <v>65</v>
      </c>
      <c r="N5" s="35" t="s">
        <v>63</v>
      </c>
      <c r="O5" s="36" t="s">
        <v>64</v>
      </c>
      <c r="P5" s="37" t="s">
        <v>65</v>
      </c>
      <c r="Q5" s="35" t="s">
        <v>63</v>
      </c>
      <c r="R5" s="36" t="s">
        <v>64</v>
      </c>
      <c r="S5" s="37" t="s">
        <v>65</v>
      </c>
      <c r="T5" s="35" t="s">
        <v>63</v>
      </c>
      <c r="U5" s="36" t="s">
        <v>64</v>
      </c>
      <c r="V5" s="37" t="s">
        <v>65</v>
      </c>
      <c r="W5" s="35" t="s">
        <v>63</v>
      </c>
      <c r="X5" s="36" t="s">
        <v>64</v>
      </c>
      <c r="Y5" s="37" t="s">
        <v>65</v>
      </c>
      <c r="Z5" s="35" t="s">
        <v>63</v>
      </c>
      <c r="AA5" s="36" t="s">
        <v>64</v>
      </c>
      <c r="AB5" s="37" t="s">
        <v>65</v>
      </c>
      <c r="AC5" s="35" t="s">
        <v>63</v>
      </c>
      <c r="AD5" s="36" t="s">
        <v>64</v>
      </c>
      <c r="AE5" s="37" t="s">
        <v>65</v>
      </c>
      <c r="AF5" s="167"/>
      <c r="AH5" s="24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</row>
    <row r="6" spans="1:32" ht="45" customHeight="1">
      <c r="A6" s="173" t="s">
        <v>40</v>
      </c>
      <c r="B6" s="186">
        <v>80</v>
      </c>
      <c r="C6" s="1">
        <v>2000</v>
      </c>
      <c r="D6" s="5">
        <f>PI()/2*0.526*POWER(0.126,2)*0.15*C6</f>
        <v>3.9352104800060936</v>
      </c>
      <c r="E6" s="4">
        <f>(C6-1195*SQRT(101.325/(101.325-9.8)-1))*D6/C6</f>
        <v>3.165816037775777</v>
      </c>
      <c r="F6" s="5">
        <f>D6*9.8/98*1.634*1+0.4*POWER(C6/2000,1.8)</f>
        <v>1.0430133924329956</v>
      </c>
      <c r="G6" s="44">
        <v>1.5</v>
      </c>
      <c r="H6" s="4">
        <f>(C6-1195*SQRT(101.325/(101.325-14.7)-1))*D6/C6</f>
        <v>2.9666139266528746</v>
      </c>
      <c r="I6" s="5">
        <f>D6*14.7/98*1.634*1+0.4*POWER(C6/2000,1.8)</f>
        <v>1.3645200886494935</v>
      </c>
      <c r="J6" s="1">
        <v>2.2</v>
      </c>
      <c r="K6" s="5">
        <f>(C6-1195*SQRT(101.325/(101.325-19.6)-1))*D6/C6</f>
        <v>2.783730353575472</v>
      </c>
      <c r="L6" s="5">
        <f>D6*19.6/98*1.634*1+0.4*POWER(C6/2000,1.8)</f>
        <v>1.6860267848659913</v>
      </c>
      <c r="M6" s="1">
        <v>2.2</v>
      </c>
      <c r="N6" s="5">
        <f>(C6-1195*SQRT(101.325/(101.325-24.5)-1))*D6/C6</f>
        <v>2.6073952873277313</v>
      </c>
      <c r="O6" s="5">
        <f>D6*24.5/98*1.634*1+0.4*POWER(C6/2000,1.8)</f>
        <v>2.007533481082489</v>
      </c>
      <c r="P6" s="1">
        <v>3</v>
      </c>
      <c r="Q6" s="5">
        <f>(C6-1195*SQRT(101.325/(101.325-29.4)-1))*D6/C6</f>
        <v>2.4319314279468167</v>
      </c>
      <c r="R6" s="5">
        <f>D6*29.4/98*1.634*1+0.4*POWER(C6/2000,1.8)</f>
        <v>2.329040177298987</v>
      </c>
      <c r="S6" s="1">
        <v>3</v>
      </c>
      <c r="T6" s="5">
        <f>(C6-1195*SQRT(101.325/(101.325-34.3)-1))*D6/C6</f>
        <v>2.2531774318503563</v>
      </c>
      <c r="U6" s="5">
        <f>D6*34.3/98*1.634*1+0.4*POWER(C6/2000,1.8)</f>
        <v>2.6505468735154842</v>
      </c>
      <c r="V6" s="1">
        <v>4</v>
      </c>
      <c r="W6" s="5"/>
      <c r="X6" s="5"/>
      <c r="Y6" s="1"/>
      <c r="Z6" s="5"/>
      <c r="AA6" s="5"/>
      <c r="AB6" s="1"/>
      <c r="AC6" s="5"/>
      <c r="AD6" s="11"/>
      <c r="AE6" s="1"/>
      <c r="AF6" s="9">
        <v>2</v>
      </c>
    </row>
    <row r="7" spans="1:32" ht="45" customHeight="1">
      <c r="A7" s="173"/>
      <c r="B7" s="186"/>
      <c r="C7" s="1">
        <v>2400</v>
      </c>
      <c r="D7" s="5">
        <f aca="true" t="shared" si="0" ref="D7:D13">PI()/2*0.526*POWER(0.126,2)*0.15*C7</f>
        <v>4.722252576007312</v>
      </c>
      <c r="E7" s="4">
        <f>(C7-1195*SQRT(101.325/(101.325-9.8)-1))*D7/C7</f>
        <v>3.9528581337769952</v>
      </c>
      <c r="F7" s="5">
        <f aca="true" t="shared" si="1" ref="F7:F13">D7*9.8/98*1.634*1+0.4*POWER(C7/2000,1.8)</f>
        <v>1.326990953225108</v>
      </c>
      <c r="G7" s="44">
        <v>2.2</v>
      </c>
      <c r="H7" s="4">
        <f aca="true" t="shared" si="2" ref="H7:H13">(C7-1195*SQRT(101.325/(101.325-14.7)-1))*D7/C7</f>
        <v>3.7536560226540927</v>
      </c>
      <c r="I7" s="5">
        <f aca="true" t="shared" si="3" ref="I7:I13">D7*14.7/98*1.634*1+0.4*POWER(C7/2000,1.8)</f>
        <v>1.7127989886849053</v>
      </c>
      <c r="J7" s="1">
        <v>3</v>
      </c>
      <c r="K7" s="5">
        <f>(C7-1195*SQRT(101.325/(101.325-19.6)-1))*D7/C7</f>
        <v>3.5707724495766904</v>
      </c>
      <c r="L7" s="5">
        <f aca="true" t="shared" si="4" ref="L7:L13">D7*19.6/98*1.634*1+0.4*POWER(C7/2000,1.8)</f>
        <v>2.098607024144703</v>
      </c>
      <c r="M7" s="1">
        <v>3</v>
      </c>
      <c r="N7" s="5">
        <f>(C7-1195*SQRT(101.325/(101.325-24.5)-1))*D7/C7</f>
        <v>3.3944373833289503</v>
      </c>
      <c r="O7" s="5">
        <f aca="true" t="shared" si="5" ref="O7:O13">D7*24.5/98*1.634*1+0.4*POWER(C7/2000,1.8)</f>
        <v>2.4844150596045003</v>
      </c>
      <c r="P7" s="1">
        <v>4</v>
      </c>
      <c r="Q7" s="5">
        <f aca="true" t="shared" si="6" ref="Q7:Q13">(C7-1195*SQRT(101.325/(101.325-29.4)-1))*D7/C7</f>
        <v>3.2189735239480353</v>
      </c>
      <c r="R7" s="5">
        <f aca="true" t="shared" si="7" ref="R7:R13">D7*29.4/98*1.634*1+0.4*POWER(C7/2000,1.8)</f>
        <v>2.870223095064297</v>
      </c>
      <c r="S7" s="1">
        <v>4</v>
      </c>
      <c r="T7" s="5">
        <f>(C7-1195*SQRT(101.325/(101.325-34.3)-1))*D7/C7</f>
        <v>3.040219527851575</v>
      </c>
      <c r="U7" s="5">
        <f aca="true" t="shared" si="8" ref="U7:U13">D7*34.3/98*1.634*1+0.4*POWER(C7/2000,1.8)</f>
        <v>3.2560311305240948</v>
      </c>
      <c r="V7" s="1">
        <v>4</v>
      </c>
      <c r="W7" s="5">
        <f>(C7-1195*SQRT(101.325/(101.325-39.2)-1))*D7/C7</f>
        <v>2.854515635681535</v>
      </c>
      <c r="X7" s="5">
        <f>D7*39.2/98*1.634*1+0.4*POWER(C7/2000,1.8)</f>
        <v>3.641839165983893</v>
      </c>
      <c r="Y7" s="1">
        <v>5.5</v>
      </c>
      <c r="Z7" s="5" t="s">
        <v>39</v>
      </c>
      <c r="AA7" s="5"/>
      <c r="AB7" s="1"/>
      <c r="AC7" s="5"/>
      <c r="AD7" s="5"/>
      <c r="AE7" s="1"/>
      <c r="AF7" s="6">
        <v>2</v>
      </c>
    </row>
    <row r="8" spans="1:32" ht="45" customHeight="1">
      <c r="A8" s="173"/>
      <c r="B8" s="186"/>
      <c r="C8" s="1">
        <v>2750</v>
      </c>
      <c r="D8" s="5">
        <f t="shared" si="0"/>
        <v>5.410914410008378</v>
      </c>
      <c r="E8" s="4">
        <f aca="true" t="shared" si="9" ref="E8:E13">(C8-1195*SQRT(101.325/(101.325-9.8)-1))*D8/C8</f>
        <v>4.641519967778061</v>
      </c>
      <c r="F8" s="5">
        <f t="shared" si="1"/>
        <v>1.5937291036162722</v>
      </c>
      <c r="G8" s="44">
        <v>2.2</v>
      </c>
      <c r="H8" s="4">
        <f t="shared" si="2"/>
        <v>4.44231785665516</v>
      </c>
      <c r="I8" s="5">
        <f t="shared" si="3"/>
        <v>2.0358008109139565</v>
      </c>
      <c r="J8" s="1">
        <v>3</v>
      </c>
      <c r="K8" s="5">
        <f aca="true" t="shared" si="10" ref="K8:K13">(C8-1195*SQRT(101.325/(101.325-19.6)-1))*D8/C8</f>
        <v>4.259434283577757</v>
      </c>
      <c r="L8" s="5">
        <f t="shared" si="4"/>
        <v>2.4778725182116412</v>
      </c>
      <c r="M8" s="1">
        <v>4</v>
      </c>
      <c r="N8" s="5">
        <f aca="true" t="shared" si="11" ref="N8:N13">(C8-1195*SQRT(101.325/(101.325-24.5)-1))*D8/C8</f>
        <v>4.083099217330016</v>
      </c>
      <c r="O8" s="5">
        <f t="shared" si="5"/>
        <v>2.919944225509326</v>
      </c>
      <c r="P8" s="1">
        <v>4</v>
      </c>
      <c r="Q8" s="5">
        <f t="shared" si="6"/>
        <v>3.9076353579491014</v>
      </c>
      <c r="R8" s="5">
        <f t="shared" si="7"/>
        <v>3.36201593280701</v>
      </c>
      <c r="S8" s="1">
        <v>5.5</v>
      </c>
      <c r="T8" s="5">
        <f aca="true" t="shared" si="12" ref="T8:T13">(C8-1195*SQRT(101.325/(101.325-34.3)-1))*D8/C8</f>
        <v>3.7288813618526415</v>
      </c>
      <c r="U8" s="5">
        <f t="shared" si="8"/>
        <v>3.804087640104694</v>
      </c>
      <c r="V8" s="1">
        <v>5.5</v>
      </c>
      <c r="W8" s="5">
        <f aca="true" t="shared" si="13" ref="W8:W13">(C8-1195*SQRT(101.325/(101.325-39.2)-1))*D8/C8</f>
        <v>3.5431774696826013</v>
      </c>
      <c r="X8" s="5">
        <f aca="true" t="shared" si="14" ref="X8:X13">D8*39.2/98*1.634*1+0.4*POWER(C8/2000,1.8)</f>
        <v>4.246159347402379</v>
      </c>
      <c r="Y8" s="1">
        <v>5.5</v>
      </c>
      <c r="Z8" s="5"/>
      <c r="AA8" s="5"/>
      <c r="AB8" s="1"/>
      <c r="AC8" s="5"/>
      <c r="AD8" s="5"/>
      <c r="AE8" s="1"/>
      <c r="AF8" s="6">
        <v>2</v>
      </c>
    </row>
    <row r="9" spans="1:34" ht="45" customHeight="1">
      <c r="A9" s="173"/>
      <c r="B9" s="186"/>
      <c r="C9" s="1">
        <v>3050</v>
      </c>
      <c r="D9" s="5">
        <f t="shared" si="0"/>
        <v>6.001195982009293</v>
      </c>
      <c r="E9" s="4">
        <f t="shared" si="9"/>
        <v>5.231801539778975</v>
      </c>
      <c r="F9" s="5">
        <f t="shared" si="1"/>
        <v>1.8355552533217696</v>
      </c>
      <c r="G9" s="44">
        <v>3</v>
      </c>
      <c r="H9" s="4">
        <f t="shared" si="2"/>
        <v>5.032599428656074</v>
      </c>
      <c r="I9" s="5">
        <f t="shared" si="3"/>
        <v>2.325852965051929</v>
      </c>
      <c r="J9" s="1">
        <v>3</v>
      </c>
      <c r="K9" s="5">
        <f t="shared" si="10"/>
        <v>4.849715855578671</v>
      </c>
      <c r="L9" s="5">
        <f t="shared" si="4"/>
        <v>2.816150676782088</v>
      </c>
      <c r="M9" s="1">
        <v>4</v>
      </c>
      <c r="N9" s="5">
        <f t="shared" si="11"/>
        <v>4.67338078933093</v>
      </c>
      <c r="O9" s="5">
        <f t="shared" si="5"/>
        <v>3.306448388512247</v>
      </c>
      <c r="P9" s="1">
        <v>5.5</v>
      </c>
      <c r="Q9" s="5">
        <f t="shared" si="6"/>
        <v>4.497916929950016</v>
      </c>
      <c r="R9" s="5">
        <f t="shared" si="7"/>
        <v>3.7967461002424066</v>
      </c>
      <c r="S9" s="1">
        <v>5.5</v>
      </c>
      <c r="T9" s="5">
        <f t="shared" si="12"/>
        <v>4.319162933853555</v>
      </c>
      <c r="U9" s="5">
        <f t="shared" si="8"/>
        <v>4.287043811972565</v>
      </c>
      <c r="V9" s="1">
        <v>5.5</v>
      </c>
      <c r="W9" s="5">
        <f t="shared" si="13"/>
        <v>4.1334590416835155</v>
      </c>
      <c r="X9" s="5">
        <f t="shared" si="14"/>
        <v>4.7773415237027255</v>
      </c>
      <c r="Y9" s="1">
        <v>7.5</v>
      </c>
      <c r="Z9" s="5">
        <f>(C9-1195*SQRT(101.325/(101.325-44.1)-1))*D9/C9</f>
        <v>3.9370886818682163</v>
      </c>
      <c r="AA9" s="8">
        <f>D9*44.1/98*1.634*1+0.4*POWER(C9/2000,1.8)</f>
        <v>5.267639235432885</v>
      </c>
      <c r="AB9" s="1">
        <v>7.5</v>
      </c>
      <c r="AC9" s="5"/>
      <c r="AD9" s="8"/>
      <c r="AE9" s="1"/>
      <c r="AF9" s="6">
        <v>2</v>
      </c>
      <c r="AH9" s="3" t="s">
        <v>28</v>
      </c>
    </row>
    <row r="10" spans="1:32" ht="45" customHeight="1">
      <c r="A10" s="173"/>
      <c r="B10" s="186"/>
      <c r="C10" s="1">
        <v>3500</v>
      </c>
      <c r="D10" s="5">
        <f t="shared" si="0"/>
        <v>6.8866183400106635</v>
      </c>
      <c r="E10" s="4">
        <f t="shared" si="9"/>
        <v>6.117223897780347</v>
      </c>
      <c r="F10" s="5">
        <f t="shared" si="1"/>
        <v>2.2205618135637692</v>
      </c>
      <c r="G10" s="44">
        <v>3</v>
      </c>
      <c r="H10" s="4">
        <f t="shared" si="2"/>
        <v>5.9180217866574445</v>
      </c>
      <c r="I10" s="5">
        <f t="shared" si="3"/>
        <v>2.7831985319426407</v>
      </c>
      <c r="J10" s="1">
        <v>4</v>
      </c>
      <c r="K10" s="5">
        <f t="shared" si="10"/>
        <v>5.735138213580042</v>
      </c>
      <c r="L10" s="5">
        <f t="shared" si="4"/>
        <v>3.345835250321511</v>
      </c>
      <c r="M10" s="1">
        <v>5.5</v>
      </c>
      <c r="N10" s="5">
        <f t="shared" si="11"/>
        <v>5.558803147332301</v>
      </c>
      <c r="O10" s="5">
        <f t="shared" si="5"/>
        <v>3.9084719687003826</v>
      </c>
      <c r="P10" s="1">
        <v>5.5</v>
      </c>
      <c r="Q10" s="5">
        <f t="shared" si="6"/>
        <v>5.383339287951387</v>
      </c>
      <c r="R10" s="5">
        <f t="shared" si="7"/>
        <v>4.471108687079254</v>
      </c>
      <c r="S10" s="1">
        <v>5.5</v>
      </c>
      <c r="T10" s="5">
        <f t="shared" si="12"/>
        <v>5.204585291854926</v>
      </c>
      <c r="U10" s="5">
        <f t="shared" si="8"/>
        <v>5.033745405458125</v>
      </c>
      <c r="V10" s="1">
        <v>7.5</v>
      </c>
      <c r="W10" s="5">
        <f t="shared" si="13"/>
        <v>5.0188813996848864</v>
      </c>
      <c r="X10" s="5">
        <f t="shared" si="14"/>
        <v>5.596382123836996</v>
      </c>
      <c r="Y10" s="1">
        <v>7.5</v>
      </c>
      <c r="Z10" s="5">
        <f>(C10-1195*SQRT(101.325/(101.325-44.1)-1))*D10/C10</f>
        <v>4.822511039869587</v>
      </c>
      <c r="AA10" s="8">
        <f>D10*44.1/98*1.634*1+0.4*POWER(C10/2000,1.8)</f>
        <v>6.159018842215868</v>
      </c>
      <c r="AB10" s="1">
        <v>7.5</v>
      </c>
      <c r="AC10" s="5"/>
      <c r="AD10" s="8"/>
      <c r="AE10" s="1"/>
      <c r="AF10" s="6">
        <v>2</v>
      </c>
    </row>
    <row r="11" spans="1:32" ht="45" customHeight="1">
      <c r="A11" s="173"/>
      <c r="B11" s="186"/>
      <c r="C11" s="1">
        <v>3950</v>
      </c>
      <c r="D11" s="5">
        <f t="shared" si="0"/>
        <v>7.772040698012035</v>
      </c>
      <c r="E11" s="4">
        <f t="shared" si="9"/>
        <v>7.002646255781719</v>
      </c>
      <c r="F11" s="5">
        <f t="shared" si="1"/>
        <v>2.6316493612266787</v>
      </c>
      <c r="G11" s="44">
        <v>4</v>
      </c>
      <c r="H11" s="4">
        <f t="shared" si="2"/>
        <v>6.803444144658816</v>
      </c>
      <c r="I11" s="5">
        <f t="shared" si="3"/>
        <v>3.266625086254262</v>
      </c>
      <c r="J11" s="1">
        <v>4</v>
      </c>
      <c r="K11" s="5">
        <f t="shared" si="10"/>
        <v>6.6205605715814135</v>
      </c>
      <c r="L11" s="5">
        <f t="shared" si="4"/>
        <v>3.9016008112818454</v>
      </c>
      <c r="M11" s="1">
        <v>5.5</v>
      </c>
      <c r="N11" s="5">
        <f t="shared" si="11"/>
        <v>6.444225505333673</v>
      </c>
      <c r="O11" s="5">
        <f t="shared" si="5"/>
        <v>4.536576536309428</v>
      </c>
      <c r="P11" s="1">
        <v>7.5</v>
      </c>
      <c r="Q11" s="5">
        <f t="shared" si="6"/>
        <v>6.2687616459527575</v>
      </c>
      <c r="R11" s="5">
        <f t="shared" si="7"/>
        <v>5.171552261337012</v>
      </c>
      <c r="S11" s="1">
        <v>7.5</v>
      </c>
      <c r="T11" s="5">
        <f t="shared" si="12"/>
        <v>6.090007649856298</v>
      </c>
      <c r="U11" s="5">
        <f t="shared" si="8"/>
        <v>5.8065279863645936</v>
      </c>
      <c r="V11" s="1">
        <v>7.5</v>
      </c>
      <c r="W11" s="5">
        <f t="shared" si="13"/>
        <v>5.904303757686257</v>
      </c>
      <c r="X11" s="5">
        <f t="shared" si="14"/>
        <v>6.441503711392178</v>
      </c>
      <c r="Y11" s="1">
        <v>7.5</v>
      </c>
      <c r="Z11" s="5">
        <f>(C11-1195*SQRT(101.325/(101.325-44.1)-1))*D11/C11</f>
        <v>5.707933397870959</v>
      </c>
      <c r="AA11" s="8">
        <f>D11*44.1/98*1.634*1+0.4*POWER(C11/2000,1.8)</f>
        <v>7.076479436419762</v>
      </c>
      <c r="AB11" s="1">
        <v>11</v>
      </c>
      <c r="AC11" s="5">
        <f>(C11-1195*SQRT(101.325/(101.325-49)-1))*D11/C11</f>
        <v>5.496685003647863</v>
      </c>
      <c r="AD11" s="8">
        <f>D11*49/98*1.634*1+0.4*POWER(C11/2000,1.8)</f>
        <v>7.711455161447344</v>
      </c>
      <c r="AE11" s="1">
        <v>11</v>
      </c>
      <c r="AF11" s="6">
        <v>2</v>
      </c>
    </row>
    <row r="12" spans="1:32" ht="45" customHeight="1">
      <c r="A12" s="173"/>
      <c r="B12" s="186"/>
      <c r="C12" s="1">
        <v>4400</v>
      </c>
      <c r="D12" s="5">
        <f t="shared" si="0"/>
        <v>8.657463056013405</v>
      </c>
      <c r="E12" s="4">
        <f t="shared" si="9"/>
        <v>7.888068613783089</v>
      </c>
      <c r="F12" s="5">
        <f t="shared" si="1"/>
        <v>3.0681927329987384</v>
      </c>
      <c r="G12" s="44">
        <v>4</v>
      </c>
      <c r="H12" s="4">
        <f t="shared" si="2"/>
        <v>7.688866502660186</v>
      </c>
      <c r="I12" s="5">
        <f t="shared" si="3"/>
        <v>3.7755074646750333</v>
      </c>
      <c r="J12" s="1">
        <v>5.5</v>
      </c>
      <c r="K12" s="5">
        <f t="shared" si="10"/>
        <v>7.5059829295827845</v>
      </c>
      <c r="L12" s="5">
        <f t="shared" si="4"/>
        <v>4.482822196351329</v>
      </c>
      <c r="M12" s="1">
        <v>5.5</v>
      </c>
      <c r="N12" s="5">
        <f t="shared" si="11"/>
        <v>7.329647863335043</v>
      </c>
      <c r="O12" s="5">
        <f t="shared" si="5"/>
        <v>5.1901369280276235</v>
      </c>
      <c r="P12" s="1">
        <v>7.5</v>
      </c>
      <c r="Q12" s="5">
        <f t="shared" si="6"/>
        <v>7.1541840039541285</v>
      </c>
      <c r="R12" s="5">
        <f t="shared" si="7"/>
        <v>5.897451659703918</v>
      </c>
      <c r="S12" s="1">
        <v>7.5</v>
      </c>
      <c r="T12" s="5">
        <f t="shared" si="12"/>
        <v>6.975430007857668</v>
      </c>
      <c r="U12" s="5">
        <f t="shared" si="8"/>
        <v>6.604766391380213</v>
      </c>
      <c r="V12" s="1">
        <v>7.5</v>
      </c>
      <c r="W12" s="5">
        <f t="shared" si="13"/>
        <v>6.789726115687628</v>
      </c>
      <c r="X12" s="5">
        <f t="shared" si="14"/>
        <v>7.31208112305651</v>
      </c>
      <c r="Y12" s="1">
        <v>11</v>
      </c>
      <c r="Z12" s="5">
        <f>(C12-1195*SQRT(101.325/(101.325-44.1)-1))*D12/C12</f>
        <v>6.593355755872329</v>
      </c>
      <c r="AA12" s="8">
        <f>D12*44.1/98*1.634*1+0.4*POWER(C12/2000,1.8)</f>
        <v>8.019395854732805</v>
      </c>
      <c r="AB12" s="1">
        <v>11</v>
      </c>
      <c r="AC12" s="5">
        <f>(C12-1195*SQRT(101.325/(101.325-49)-1))*D12/C12</f>
        <v>6.382107361649233</v>
      </c>
      <c r="AD12" s="8">
        <f>D12*49/98*1.634*1+0.4*POWER(C12/2000,1.8)</f>
        <v>8.7267105864091</v>
      </c>
      <c r="AE12" s="1">
        <v>11</v>
      </c>
      <c r="AF12" s="6">
        <v>2</v>
      </c>
    </row>
    <row r="13" spans="1:32" ht="45" customHeight="1">
      <c r="A13" s="173"/>
      <c r="B13" s="186"/>
      <c r="C13" s="7">
        <v>4700</v>
      </c>
      <c r="D13" s="5">
        <f t="shared" si="0"/>
        <v>9.24774462801432</v>
      </c>
      <c r="E13" s="4">
        <f t="shared" si="9"/>
        <v>8.478350185784006</v>
      </c>
      <c r="F13" s="5">
        <f t="shared" si="1"/>
        <v>3.3730920483179974</v>
      </c>
      <c r="G13" s="44">
        <v>5.5</v>
      </c>
      <c r="H13" s="4">
        <f t="shared" si="2"/>
        <v>8.279148074661101</v>
      </c>
      <c r="I13" s="5">
        <f t="shared" si="3"/>
        <v>4.128632784426768</v>
      </c>
      <c r="J13" s="1">
        <v>5.5</v>
      </c>
      <c r="K13" s="5">
        <f t="shared" si="10"/>
        <v>8.096264501583697</v>
      </c>
      <c r="L13" s="5">
        <f t="shared" si="4"/>
        <v>4.884173520535538</v>
      </c>
      <c r="M13" s="1">
        <v>7.5</v>
      </c>
      <c r="N13" s="5">
        <f t="shared" si="11"/>
        <v>7.919929435335957</v>
      </c>
      <c r="O13" s="5">
        <f t="shared" si="5"/>
        <v>5.639714256644307</v>
      </c>
      <c r="P13" s="1">
        <v>7.5</v>
      </c>
      <c r="Q13" s="5">
        <f t="shared" si="6"/>
        <v>7.744465575955043</v>
      </c>
      <c r="R13" s="5">
        <f t="shared" si="7"/>
        <v>6.3952549927530775</v>
      </c>
      <c r="S13" s="1">
        <v>7.5</v>
      </c>
      <c r="T13" s="5">
        <f t="shared" si="12"/>
        <v>7.565711579858583</v>
      </c>
      <c r="U13" s="5">
        <f t="shared" si="8"/>
        <v>7.150795728861847</v>
      </c>
      <c r="V13" s="1">
        <v>11</v>
      </c>
      <c r="W13" s="5">
        <f t="shared" si="13"/>
        <v>7.3800076876885425</v>
      </c>
      <c r="X13" s="5">
        <f t="shared" si="14"/>
        <v>7.906336464970618</v>
      </c>
      <c r="Y13" s="1">
        <v>11</v>
      </c>
      <c r="Z13" s="5">
        <f>(C13-1195*SQRT(101.325/(101.325-44.1)-1))*D13/C13</f>
        <v>7.183637327873244</v>
      </c>
      <c r="AA13" s="8">
        <f>D13*44.1/98*1.634*1+0.4*POWER(C13/2000,1.8)</f>
        <v>8.661877201079387</v>
      </c>
      <c r="AB13" s="1">
        <v>11</v>
      </c>
      <c r="AC13" s="5">
        <f>(C13-1195*SQRT(101.325/(101.325-49)-1))*D13/C13</f>
        <v>6.972388933650148</v>
      </c>
      <c r="AD13" s="8">
        <f>D13*49/98*1.634*1+0.4*POWER(C13/2000,1.8)</f>
        <v>9.417417937188157</v>
      </c>
      <c r="AE13" s="1">
        <v>11</v>
      </c>
      <c r="AF13" s="6">
        <v>2</v>
      </c>
    </row>
    <row r="14" spans="1:32" ht="45" customHeight="1">
      <c r="A14" s="183" t="s">
        <v>41</v>
      </c>
      <c r="B14" s="185">
        <v>80</v>
      </c>
      <c r="C14" s="1">
        <v>2000</v>
      </c>
      <c r="D14" s="11">
        <f>PI()/2*0.526*POWER(0.126,2)*0.21*C14</f>
        <v>5.509294672008532</v>
      </c>
      <c r="E14" s="10">
        <f>(C14-1045*SQRT(101.325/(101.325-9.8)-1))*D14/C14</f>
        <v>4.567349844407735</v>
      </c>
      <c r="F14" s="11">
        <f>D14*9.8/98*1.634*1+0.46*POWER(C14/2000,1.8)</f>
        <v>1.3602187494061941</v>
      </c>
      <c r="G14" s="43">
        <v>2.2</v>
      </c>
      <c r="H14" s="10">
        <f>(C14-1045*SQRT(101.325/(101.325-14.7)-1))*D14/C14</f>
        <v>4.3234731175685654</v>
      </c>
      <c r="I14" s="11">
        <f>D14*14.7/98*1.634*1+0.46*POWER(C14/2000,1.8)</f>
        <v>1.8103281241092908</v>
      </c>
      <c r="J14" s="2">
        <v>3</v>
      </c>
      <c r="K14" s="11">
        <f>(C14-1045*SQRT(101.325/(101.325-19.6)-1))*D14/C14</f>
        <v>4.099574651114809</v>
      </c>
      <c r="L14" s="11">
        <f>D14*19.6/98*1.634*1+0.46*POWER(C14/2000,1.8)</f>
        <v>2.2604374988123883</v>
      </c>
      <c r="M14" s="2">
        <v>3</v>
      </c>
      <c r="N14" s="11">
        <f>(C14-1045*SQRT(101.325/(101.325-24.5)-1))*D14/C14</f>
        <v>3.883693310595608</v>
      </c>
      <c r="O14" s="11">
        <f>D14*24.5/98*1.634*1+0.46*POWER(C14/2000,1.8)</f>
        <v>2.710546873515485</v>
      </c>
      <c r="P14" s="2">
        <v>4</v>
      </c>
      <c r="Q14" s="11">
        <f>(C14-1045*SQRT(101.325/(101.325-29.4)-1))*D14/C14</f>
        <v>3.6688785605752914</v>
      </c>
      <c r="R14" s="11">
        <f>D14*29.4/98*1.634*1+0.46*POWER(C14/2000,1.8)</f>
        <v>3.1606562482185816</v>
      </c>
      <c r="S14" s="2">
        <v>4</v>
      </c>
      <c r="T14" s="11">
        <f>(C14-1045*SQRT(101.325/(101.325-34.3)-1))*D14/C14</f>
        <v>3.4500358021743533</v>
      </c>
      <c r="U14" s="11">
        <f>D14*34.3/98*1.634*1+0.46*POWER(C14/2000,1.8)</f>
        <v>3.610765622921679</v>
      </c>
      <c r="V14" s="2">
        <v>5.5</v>
      </c>
      <c r="W14" s="11"/>
      <c r="X14" s="11"/>
      <c r="Y14" s="2"/>
      <c r="Z14" s="11"/>
      <c r="AA14" s="11"/>
      <c r="AB14" s="2"/>
      <c r="AC14" s="11"/>
      <c r="AD14" s="21"/>
      <c r="AE14" s="2"/>
      <c r="AF14" s="9">
        <v>2</v>
      </c>
    </row>
    <row r="15" spans="1:32" ht="45" customHeight="1">
      <c r="A15" s="173"/>
      <c r="B15" s="186"/>
      <c r="C15" s="1">
        <v>2400</v>
      </c>
      <c r="D15" s="5">
        <f aca="true" t="shared" si="15" ref="D15:D21">PI()/2*0.526*POWER(0.126,2)*0.21*C15</f>
        <v>6.611153606410238</v>
      </c>
      <c r="E15" s="4">
        <f aca="true" t="shared" si="16" ref="E15:E21">(C15-1045*SQRT(101.325/(101.325-9.8)-1))*D15/C15</f>
        <v>5.669208778809441</v>
      </c>
      <c r="F15" s="5">
        <f aca="true" t="shared" si="17" ref="F15:F21">D15*9.8/98*1.634*1+0.46*POWER(C15/2000,1.8)</f>
        <v>1.7189436139387733</v>
      </c>
      <c r="G15" s="44">
        <v>3</v>
      </c>
      <c r="H15" s="4">
        <f aca="true" t="shared" si="18" ref="H15:H21">(C15-1045*SQRT(101.325/(101.325-14.7)-1))*D15/C15</f>
        <v>5.425332051970272</v>
      </c>
      <c r="I15" s="5">
        <f aca="true" t="shared" si="19" ref="I15:I21">D15*14.7/98*1.634*1+0.46*POWER(C15/2000,1.8)</f>
        <v>2.2590748635824895</v>
      </c>
      <c r="J15" s="1">
        <v>3</v>
      </c>
      <c r="K15" s="5">
        <f aca="true" t="shared" si="20" ref="K15:K21">(C15-1045*SQRT(101.325/(101.325-19.6)-1))*D15/C15</f>
        <v>5.201433585516515</v>
      </c>
      <c r="L15" s="5">
        <f aca="true" t="shared" si="21" ref="L15:L21">D15*19.6/98*1.634*1+0.46*POWER(C15/2000,1.8)</f>
        <v>2.799206113226206</v>
      </c>
      <c r="M15" s="1">
        <v>4</v>
      </c>
      <c r="N15" s="5">
        <f aca="true" t="shared" si="22" ref="N15:N21">(C15-1045*SQRT(101.325/(101.325-24.5)-1))*D15/C15</f>
        <v>4.985552244997314</v>
      </c>
      <c r="O15" s="5">
        <f aca="true" t="shared" si="23" ref="O15:O21">D15*24.5/98*1.634*1+0.46*POWER(C15/2000,1.8)</f>
        <v>3.339337362869922</v>
      </c>
      <c r="P15" s="1">
        <v>5.5</v>
      </c>
      <c r="Q15" s="5">
        <f aca="true" t="shared" si="24" ref="Q15:Q21">(C15-1045*SQRT(101.325/(101.325-29.4)-1))*D15/C15</f>
        <v>4.770737494976998</v>
      </c>
      <c r="R15" s="5">
        <f aca="true" t="shared" si="25" ref="R15:R21">D15*29.4/98*1.634*1+0.46*POWER(C15/2000,1.8)</f>
        <v>3.879468612513639</v>
      </c>
      <c r="S15" s="1">
        <v>5.5</v>
      </c>
      <c r="T15" s="5">
        <f aca="true" t="shared" si="26" ref="T15:T21">(C15-1045*SQRT(101.325/(101.325-34.3)-1))*D15/C15</f>
        <v>4.55189473657606</v>
      </c>
      <c r="U15" s="5">
        <f aca="true" t="shared" si="27" ref="U15:U21">D15*34.3/98*1.634*1+0.46*POWER(C15/2000,1.8)</f>
        <v>4.419599862157355</v>
      </c>
      <c r="V15" s="1">
        <v>5.5</v>
      </c>
      <c r="W15" s="5">
        <f>(C15-1045*SQRT(101.325/(101.325-39.2)-1))*D15/C15</f>
        <v>4.324543444321022</v>
      </c>
      <c r="X15" s="5">
        <f>D15*39.2/98*1.634*1+0.46*POWER(C15/2000,1.8)</f>
        <v>4.959731111801072</v>
      </c>
      <c r="Y15" s="1">
        <v>7.5</v>
      </c>
      <c r="Z15" s="5"/>
      <c r="AA15" s="8"/>
      <c r="AB15" s="1"/>
      <c r="AC15" s="5"/>
      <c r="AD15" s="8"/>
      <c r="AE15" s="1"/>
      <c r="AF15" s="6">
        <v>2</v>
      </c>
    </row>
    <row r="16" spans="1:32" ht="45" customHeight="1">
      <c r="A16" s="173"/>
      <c r="B16" s="186"/>
      <c r="C16" s="1">
        <v>2750</v>
      </c>
      <c r="D16" s="5">
        <f t="shared" si="15"/>
        <v>7.5752801740117315</v>
      </c>
      <c r="E16" s="4">
        <f t="shared" si="16"/>
        <v>6.633335346410934</v>
      </c>
      <c r="F16" s="5">
        <f t="shared" si="17"/>
        <v>2.0538243228075554</v>
      </c>
      <c r="G16" s="44">
        <v>3</v>
      </c>
      <c r="H16" s="4">
        <f t="shared" si="18"/>
        <v>6.389458619571766</v>
      </c>
      <c r="I16" s="5">
        <f t="shared" si="19"/>
        <v>2.672724713024314</v>
      </c>
      <c r="J16" s="1">
        <v>4</v>
      </c>
      <c r="K16" s="5">
        <f t="shared" si="20"/>
        <v>6.165560153118008</v>
      </c>
      <c r="L16" s="5">
        <f t="shared" si="21"/>
        <v>3.2916251032410724</v>
      </c>
      <c r="M16" s="1">
        <v>4</v>
      </c>
      <c r="N16" s="5">
        <f t="shared" si="22"/>
        <v>5.949678812598807</v>
      </c>
      <c r="O16" s="5">
        <f t="shared" si="23"/>
        <v>3.910525493457831</v>
      </c>
      <c r="P16" s="1">
        <v>5.5</v>
      </c>
      <c r="Q16" s="5">
        <f t="shared" si="24"/>
        <v>5.734864062578492</v>
      </c>
      <c r="R16" s="5">
        <f t="shared" si="25"/>
        <v>4.529425883674589</v>
      </c>
      <c r="S16" s="1">
        <v>7.5</v>
      </c>
      <c r="T16" s="5">
        <f t="shared" si="26"/>
        <v>5.516021304177553</v>
      </c>
      <c r="U16" s="5">
        <f t="shared" si="27"/>
        <v>5.148326273891347</v>
      </c>
      <c r="V16" s="1">
        <v>7.5</v>
      </c>
      <c r="W16" s="5">
        <f aca="true" t="shared" si="28" ref="W16:W21">(C16-1045*SQRT(101.325/(101.325-39.2)-1))*D16/C16</f>
        <v>5.288670011922515</v>
      </c>
      <c r="X16" s="5">
        <f aca="true" t="shared" si="29" ref="X16:X21">D16*39.2/98*1.634*1+0.46*POWER(C16/2000,1.8)</f>
        <v>5.767226664108106</v>
      </c>
      <c r="Y16" s="1">
        <v>7.5</v>
      </c>
      <c r="Z16" s="5">
        <f aca="true" t="shared" si="30" ref="Z16:Z21">(C16-1045*SQRT(101.325/(101.325-44.1)-1))*D16/C16</f>
        <v>5.048260106977091</v>
      </c>
      <c r="AA16" s="8">
        <f aca="true" t="shared" si="31" ref="AA16:AA21">D16*44.1/98*1.634*1+0.46*POWER(C16/2000,1.8)</f>
        <v>6.386127054324864</v>
      </c>
      <c r="AB16" s="1">
        <v>7.5</v>
      </c>
      <c r="AC16" s="5"/>
      <c r="AD16" s="8"/>
      <c r="AE16" s="1"/>
      <c r="AF16" s="6">
        <v>2</v>
      </c>
    </row>
    <row r="17" spans="1:32" ht="45" customHeight="1">
      <c r="A17" s="173"/>
      <c r="B17" s="186"/>
      <c r="C17" s="1">
        <v>3050</v>
      </c>
      <c r="D17" s="5">
        <f t="shared" si="15"/>
        <v>8.40167437481301</v>
      </c>
      <c r="E17" s="4">
        <f t="shared" si="16"/>
        <v>7.459729547212213</v>
      </c>
      <c r="F17" s="5">
        <f t="shared" si="17"/>
        <v>2.3560373971851147</v>
      </c>
      <c r="G17" s="44">
        <v>3</v>
      </c>
      <c r="H17" s="4">
        <f t="shared" si="18"/>
        <v>7.215852820373044</v>
      </c>
      <c r="I17" s="5">
        <f t="shared" si="19"/>
        <v>3.0424541936073375</v>
      </c>
      <c r="J17" s="1">
        <v>4</v>
      </c>
      <c r="K17" s="5">
        <f t="shared" si="20"/>
        <v>6.991954353919287</v>
      </c>
      <c r="L17" s="5">
        <f t="shared" si="21"/>
        <v>3.728870990029561</v>
      </c>
      <c r="M17" s="1">
        <v>5.5</v>
      </c>
      <c r="N17" s="5">
        <f t="shared" si="22"/>
        <v>6.776073013400087</v>
      </c>
      <c r="O17" s="5">
        <f t="shared" si="23"/>
        <v>4.415287786451784</v>
      </c>
      <c r="P17" s="1">
        <v>5.5</v>
      </c>
      <c r="Q17" s="5">
        <f t="shared" si="24"/>
        <v>6.561258263379771</v>
      </c>
      <c r="R17" s="5">
        <f t="shared" si="25"/>
        <v>5.101704582874007</v>
      </c>
      <c r="S17" s="1">
        <v>7.5</v>
      </c>
      <c r="T17" s="5">
        <f t="shared" si="26"/>
        <v>6.342415504978832</v>
      </c>
      <c r="U17" s="5">
        <f t="shared" si="27"/>
        <v>5.788121379296229</v>
      </c>
      <c r="V17" s="1">
        <v>7.5</v>
      </c>
      <c r="W17" s="5">
        <f t="shared" si="28"/>
        <v>6.115064212723794</v>
      </c>
      <c r="X17" s="5">
        <f t="shared" si="29"/>
        <v>6.474538175718453</v>
      </c>
      <c r="Y17" s="1">
        <v>7.5</v>
      </c>
      <c r="Z17" s="5">
        <f t="shared" si="30"/>
        <v>5.874654307778371</v>
      </c>
      <c r="AA17" s="8">
        <f t="shared" si="31"/>
        <v>7.160954972140676</v>
      </c>
      <c r="AB17" s="1">
        <v>11</v>
      </c>
      <c r="AC17" s="5"/>
      <c r="AD17" s="8"/>
      <c r="AE17" s="1"/>
      <c r="AF17" s="6">
        <v>2</v>
      </c>
    </row>
    <row r="18" spans="1:32" ht="45" customHeight="1">
      <c r="A18" s="173"/>
      <c r="B18" s="186"/>
      <c r="C18" s="1">
        <v>3500</v>
      </c>
      <c r="D18" s="5">
        <f t="shared" si="15"/>
        <v>9.64126567601493</v>
      </c>
      <c r="E18" s="4">
        <f t="shared" si="16"/>
        <v>8.699320848414132</v>
      </c>
      <c r="F18" s="5">
        <f t="shared" si="17"/>
        <v>2.8349644447877704</v>
      </c>
      <c r="G18" s="44">
        <v>4</v>
      </c>
      <c r="H18" s="4">
        <f t="shared" si="18"/>
        <v>8.455444121574965</v>
      </c>
      <c r="I18" s="5">
        <f t="shared" si="19"/>
        <v>3.62265585051819</v>
      </c>
      <c r="J18" s="1">
        <v>5.5</v>
      </c>
      <c r="K18" s="5">
        <f t="shared" si="20"/>
        <v>8.231545655121206</v>
      </c>
      <c r="L18" s="5">
        <f t="shared" si="21"/>
        <v>4.41034725624861</v>
      </c>
      <c r="M18" s="1">
        <v>5.5</v>
      </c>
      <c r="N18" s="5">
        <f t="shared" si="22"/>
        <v>8.015664314602006</v>
      </c>
      <c r="O18" s="5">
        <f t="shared" si="23"/>
        <v>5.198038661979029</v>
      </c>
      <c r="P18" s="1">
        <v>7.5</v>
      </c>
      <c r="Q18" s="5">
        <f t="shared" si="24"/>
        <v>7.80084956458169</v>
      </c>
      <c r="R18" s="5">
        <f t="shared" si="25"/>
        <v>5.98573006770945</v>
      </c>
      <c r="S18" s="1">
        <v>7.5</v>
      </c>
      <c r="T18" s="5">
        <f t="shared" si="26"/>
        <v>7.582006806180751</v>
      </c>
      <c r="U18" s="5">
        <f t="shared" si="27"/>
        <v>6.773421473439869</v>
      </c>
      <c r="V18" s="1">
        <v>7.5</v>
      </c>
      <c r="W18" s="5">
        <f t="shared" si="28"/>
        <v>7.354655513925714</v>
      </c>
      <c r="X18" s="5">
        <f t="shared" si="29"/>
        <v>7.561112879170289</v>
      </c>
      <c r="Y18" s="1">
        <v>11</v>
      </c>
      <c r="Z18" s="5">
        <f t="shared" si="30"/>
        <v>7.114245608980291</v>
      </c>
      <c r="AA18" s="8">
        <f t="shared" si="31"/>
        <v>8.348804284900709</v>
      </c>
      <c r="AB18" s="1">
        <v>11</v>
      </c>
      <c r="AC18" s="5">
        <f>(C18-1045*SQRT(101.325/(101.325-49)-1))*D18/C18</f>
        <v>6.855621005843562</v>
      </c>
      <c r="AD18" s="8">
        <f>D18*49/98*1.634*1+0.46*POWER(C18/2000,1.8)</f>
        <v>9.136495690631127</v>
      </c>
      <c r="AE18" s="1">
        <v>11</v>
      </c>
      <c r="AF18" s="6">
        <v>2</v>
      </c>
    </row>
    <row r="19" spans="1:32" ht="45" customHeight="1">
      <c r="A19" s="173"/>
      <c r="B19" s="186"/>
      <c r="C19" s="1">
        <v>3950</v>
      </c>
      <c r="D19" s="5">
        <f t="shared" si="15"/>
        <v>10.880856977216851</v>
      </c>
      <c r="E19" s="4">
        <f t="shared" si="16"/>
        <v>9.938912149616053</v>
      </c>
      <c r="F19" s="5">
        <f t="shared" si="17"/>
        <v>3.3438846279244725</v>
      </c>
      <c r="G19" s="44">
        <v>5.5</v>
      </c>
      <c r="H19" s="4">
        <f t="shared" si="18"/>
        <v>9.695035422776884</v>
      </c>
      <c r="I19" s="5">
        <f t="shared" si="19"/>
        <v>4.232850642963089</v>
      </c>
      <c r="J19" s="1">
        <v>5.5</v>
      </c>
      <c r="K19" s="5">
        <f t="shared" si="20"/>
        <v>9.471136956323127</v>
      </c>
      <c r="L19" s="5">
        <f t="shared" si="21"/>
        <v>5.121816658001706</v>
      </c>
      <c r="M19" s="1">
        <v>7.5</v>
      </c>
      <c r="N19" s="5">
        <f t="shared" si="22"/>
        <v>9.255255615803927</v>
      </c>
      <c r="O19" s="5">
        <f t="shared" si="23"/>
        <v>6.010782673040323</v>
      </c>
      <c r="P19" s="1">
        <v>7.5</v>
      </c>
      <c r="Q19" s="5">
        <f t="shared" si="24"/>
        <v>9.04044086578361</v>
      </c>
      <c r="R19" s="5">
        <f t="shared" si="25"/>
        <v>6.8997486880789385</v>
      </c>
      <c r="S19" s="1">
        <v>11</v>
      </c>
      <c r="T19" s="5">
        <f t="shared" si="26"/>
        <v>8.821598107382673</v>
      </c>
      <c r="U19" s="5">
        <f t="shared" si="27"/>
        <v>7.788714703117556</v>
      </c>
      <c r="V19" s="1">
        <v>11</v>
      </c>
      <c r="W19" s="5">
        <f t="shared" si="28"/>
        <v>8.594246815127635</v>
      </c>
      <c r="X19" s="5">
        <f t="shared" si="29"/>
        <v>8.677680718156173</v>
      </c>
      <c r="Y19" s="1">
        <v>11</v>
      </c>
      <c r="Z19" s="5">
        <f t="shared" si="30"/>
        <v>8.353836910182212</v>
      </c>
      <c r="AA19" s="8">
        <f t="shared" si="31"/>
        <v>9.56664673319479</v>
      </c>
      <c r="AB19" s="1">
        <v>11</v>
      </c>
      <c r="AC19" s="5">
        <f>(C19-1045*SQRT(101.325/(101.325-49)-1))*D19/C19</f>
        <v>8.095212307045482</v>
      </c>
      <c r="AD19" s="8">
        <f>D19*49/98*1.634*1+0.46*POWER(C19/2000,1.8)</f>
        <v>10.455612748233406</v>
      </c>
      <c r="AE19" s="1">
        <v>15</v>
      </c>
      <c r="AF19" s="6">
        <v>2</v>
      </c>
    </row>
    <row r="20" spans="1:32" ht="45" customHeight="1">
      <c r="A20" s="173"/>
      <c r="B20" s="186"/>
      <c r="C20" s="1">
        <v>4400</v>
      </c>
      <c r="D20" s="5">
        <f t="shared" si="15"/>
        <v>12.12044827841877</v>
      </c>
      <c r="E20" s="8">
        <f t="shared" si="16"/>
        <v>11.178503450817972</v>
      </c>
      <c r="F20" s="5">
        <f t="shared" si="17"/>
        <v>3.8820790087866968</v>
      </c>
      <c r="G20" s="44">
        <v>5.5</v>
      </c>
      <c r="H20" s="8">
        <f t="shared" si="18"/>
        <v>10.934626723978804</v>
      </c>
      <c r="I20" s="5">
        <f t="shared" si="19"/>
        <v>4.87231963313351</v>
      </c>
      <c r="J20" s="1">
        <v>7.5</v>
      </c>
      <c r="K20" s="8">
        <f t="shared" si="20"/>
        <v>10.710728257525048</v>
      </c>
      <c r="L20" s="5">
        <f t="shared" si="21"/>
        <v>5.862560257480324</v>
      </c>
      <c r="M20" s="1">
        <v>7.5</v>
      </c>
      <c r="N20" s="8">
        <f t="shared" si="22"/>
        <v>10.494846917005846</v>
      </c>
      <c r="O20" s="5">
        <f t="shared" si="23"/>
        <v>6.852800881827138</v>
      </c>
      <c r="P20" s="1">
        <v>11</v>
      </c>
      <c r="Q20" s="8">
        <f t="shared" si="24"/>
        <v>10.280032166985531</v>
      </c>
      <c r="R20" s="5">
        <f t="shared" si="25"/>
        <v>7.843041506173951</v>
      </c>
      <c r="S20" s="1">
        <v>11</v>
      </c>
      <c r="T20" s="8">
        <f t="shared" si="26"/>
        <v>10.06118940858459</v>
      </c>
      <c r="U20" s="5">
        <f t="shared" si="27"/>
        <v>8.833282130520763</v>
      </c>
      <c r="V20" s="1">
        <v>11</v>
      </c>
      <c r="W20" s="5">
        <f t="shared" si="28"/>
        <v>9.833838116329554</v>
      </c>
      <c r="X20" s="5">
        <f t="shared" si="29"/>
        <v>9.823522754867579</v>
      </c>
      <c r="Y20" s="1">
        <v>15</v>
      </c>
      <c r="Z20" s="5">
        <f t="shared" si="30"/>
        <v>9.593428211384131</v>
      </c>
      <c r="AA20" s="8">
        <f t="shared" si="31"/>
        <v>10.813763379214391</v>
      </c>
      <c r="AB20" s="1">
        <v>15</v>
      </c>
      <c r="AC20" s="5">
        <f>(C20-1045*SQRT(101.325/(101.325-49)-1))*D20/C20</f>
        <v>9.334803608247402</v>
      </c>
      <c r="AD20" s="8">
        <f>D20*49/98*1.634*1+0.46*POWER(C20/2000,1.8)</f>
        <v>11.804004003561205</v>
      </c>
      <c r="AE20" s="1">
        <v>15</v>
      </c>
      <c r="AF20" s="6">
        <v>2</v>
      </c>
    </row>
    <row r="21" spans="1:32" ht="45" customHeight="1">
      <c r="A21" s="184"/>
      <c r="B21" s="187"/>
      <c r="C21" s="7">
        <v>4700</v>
      </c>
      <c r="D21" s="12">
        <f t="shared" si="15"/>
        <v>12.94684247922005</v>
      </c>
      <c r="E21" s="20">
        <f t="shared" si="16"/>
        <v>12.004897651619254</v>
      </c>
      <c r="F21" s="12">
        <f t="shared" si="17"/>
        <v>4.256826223620083</v>
      </c>
      <c r="G21" s="46">
        <v>5.5</v>
      </c>
      <c r="H21" s="20">
        <f t="shared" si="18"/>
        <v>11.761020924780084</v>
      </c>
      <c r="I21" s="12">
        <f t="shared" si="19"/>
        <v>5.31458325417236</v>
      </c>
      <c r="J21" s="7">
        <v>7.5</v>
      </c>
      <c r="K21" s="20">
        <f t="shared" si="20"/>
        <v>11.537122458326326</v>
      </c>
      <c r="L21" s="12">
        <f t="shared" si="21"/>
        <v>6.372340284724638</v>
      </c>
      <c r="M21" s="7">
        <v>7.5</v>
      </c>
      <c r="N21" s="20">
        <f t="shared" si="22"/>
        <v>11.321241117807126</v>
      </c>
      <c r="O21" s="12">
        <f t="shared" si="23"/>
        <v>7.430097315276916</v>
      </c>
      <c r="P21" s="7">
        <v>11</v>
      </c>
      <c r="Q21" s="20">
        <f t="shared" si="24"/>
        <v>11.10642636778681</v>
      </c>
      <c r="R21" s="12">
        <f t="shared" si="25"/>
        <v>8.487854345829195</v>
      </c>
      <c r="S21" s="7">
        <v>11</v>
      </c>
      <c r="T21" s="20">
        <f t="shared" si="26"/>
        <v>10.887583609385873</v>
      </c>
      <c r="U21" s="12">
        <f t="shared" si="27"/>
        <v>9.545611376381471</v>
      </c>
      <c r="V21" s="7">
        <v>11</v>
      </c>
      <c r="W21" s="20">
        <f t="shared" si="28"/>
        <v>10.660232317130834</v>
      </c>
      <c r="X21" s="20">
        <f t="shared" si="29"/>
        <v>10.60336840693375</v>
      </c>
      <c r="Y21" s="7">
        <v>15</v>
      </c>
      <c r="Z21" s="20">
        <f t="shared" si="30"/>
        <v>10.419822412185411</v>
      </c>
      <c r="AA21" s="20">
        <f t="shared" si="31"/>
        <v>11.661125437486028</v>
      </c>
      <c r="AB21" s="7">
        <v>15</v>
      </c>
      <c r="AC21" s="20">
        <f>(C21-1045*SQRT(101.325/(101.325-49)-1))*D21/C21</f>
        <v>10.161197809048682</v>
      </c>
      <c r="AD21" s="20">
        <f>D21*49/98*1.634*1+0.46*POWER(C21/2000,1.8)</f>
        <v>12.718882468038306</v>
      </c>
      <c r="AE21" s="7">
        <v>15</v>
      </c>
      <c r="AF21" s="13">
        <v>2</v>
      </c>
    </row>
    <row r="22" spans="1:32" ht="45" customHeight="1">
      <c r="A22" s="188" t="s">
        <v>42</v>
      </c>
      <c r="B22" s="185">
        <v>100</v>
      </c>
      <c r="C22" s="1">
        <v>2000</v>
      </c>
      <c r="D22" s="11">
        <f>PI()/2*0.526*POWER(0.126,2)*0.3*C22</f>
        <v>7.870420960012187</v>
      </c>
      <c r="E22" s="11">
        <f>(C22-775*SQRT(101.325/(101.325-9.8)-1))*D22/C22</f>
        <v>6.872461641638137</v>
      </c>
      <c r="F22" s="11">
        <f>D22*9.8/98*1.634*1+0.75*POWER(C22/2000,1.8)</f>
        <v>2.0360267848659914</v>
      </c>
      <c r="G22" s="43">
        <v>3</v>
      </c>
      <c r="H22" s="11">
        <f>(C22-775*SQRT(101.325/(101.325-14.7)-1))*D22/C22</f>
        <v>6.614082334323911</v>
      </c>
      <c r="I22" s="11">
        <f>D22*14.7/98*1.634*1+0.75*POWER(C22/2000,1.8)</f>
        <v>2.6790401772989867</v>
      </c>
      <c r="J22" s="2">
        <v>4</v>
      </c>
      <c r="K22" s="11">
        <f>(C22-775*SQRT(101.325/(101.325-19.6)-1))*D22/C22</f>
        <v>6.376869331587532</v>
      </c>
      <c r="L22" s="11">
        <f>D22*19.6/98*1.634*1+0.75*POWER(C22/2000,1.8)</f>
        <v>3.322053569731983</v>
      </c>
      <c r="M22" s="2">
        <v>5.5</v>
      </c>
      <c r="N22" s="11">
        <f>(C22-775*SQRT(101.325/(101.325-24.5)-1))*D22/C22</f>
        <v>6.148150208002597</v>
      </c>
      <c r="O22" s="11">
        <f>D22*24.5/98*1.634*1+0.75*POWER(C22/2000,1.8)</f>
        <v>3.965066962164978</v>
      </c>
      <c r="P22" s="2">
        <v>5.5</v>
      </c>
      <c r="Q22" s="11">
        <f>(C22-775*SQRT(101.325/(101.325-29.4)-1))*D22/C22</f>
        <v>5.920561101692623</v>
      </c>
      <c r="R22" s="11">
        <f>D22*29.4/98*1.634*1+0.75*POWER(C22/2000,1.8)</f>
        <v>4.608080354597973</v>
      </c>
      <c r="S22" s="2">
        <v>7.5</v>
      </c>
      <c r="T22" s="11">
        <f>(C22-775*SQRT(101.325/(101.325-34.3)-1))*D22/C22</f>
        <v>5.6887044540361265</v>
      </c>
      <c r="U22" s="11">
        <f>D22*34.3/98*1.634*1+0.75*POWER(C22/2000,1.8)</f>
        <v>5.251093747030969</v>
      </c>
      <c r="V22" s="2">
        <v>7.5</v>
      </c>
      <c r="W22" s="11">
        <f>(C22-775*SQRT(101.325/(101.325-39.2)-1))*D22/C22</f>
        <v>5.447833296828124</v>
      </c>
      <c r="X22" s="11">
        <f>D22*39.2/98*1.634*1+0.75*POWER(C22/2000,1.8)</f>
        <v>5.894107139463966</v>
      </c>
      <c r="Y22" s="2">
        <v>7.5</v>
      </c>
      <c r="Z22" s="11">
        <f>(C22-775*SQRT(101.325/(101.325-44.1)-1))*D22/C22</f>
        <v>5.193126972381503</v>
      </c>
      <c r="AA22" s="11">
        <f>D22*44.1/98*1.634*1+0.75*POWER(C22/2000,1.8)</f>
        <v>6.537120531896961</v>
      </c>
      <c r="AB22" s="2">
        <v>7.5</v>
      </c>
      <c r="AC22" s="11">
        <f>(C22-775*SQRT(101.325/(101.325-49)-1))*D22/C22</f>
        <v>4.919122779037737</v>
      </c>
      <c r="AD22" s="11">
        <f>D22*49/98*1.634*1+0.75*POWER(C22/2000,1.8)</f>
        <v>7.180133924329956</v>
      </c>
      <c r="AE22" s="2">
        <v>11</v>
      </c>
      <c r="AF22" s="9">
        <v>2</v>
      </c>
    </row>
    <row r="23" spans="1:32" ht="45" customHeight="1">
      <c r="A23" s="188"/>
      <c r="B23" s="186"/>
      <c r="C23" s="1">
        <v>2400</v>
      </c>
      <c r="D23" s="5">
        <f aca="true" t="shared" si="32" ref="D23:D29">PI()/2*0.526*POWER(0.126,2)*0.3*C23</f>
        <v>9.444505152014624</v>
      </c>
      <c r="E23" s="5">
        <f aca="true" t="shared" si="33" ref="E23:E29">(C23-775*SQRT(101.325/(101.325-9.8)-1))*D23/C23</f>
        <v>8.446545833640574</v>
      </c>
      <c r="F23" s="5">
        <f aca="true" t="shared" si="34" ref="F23:F29">D23*9.8/98*1.634*1+0.75*POWER(C23/2000,1.8)</f>
        <v>2.5845600461620273</v>
      </c>
      <c r="G23" s="44">
        <v>4</v>
      </c>
      <c r="H23" s="5">
        <f aca="true" t="shared" si="35" ref="H23:H29">(C23-775*SQRT(101.325/(101.325-14.7)-1))*D23/C23</f>
        <v>8.188166526326349</v>
      </c>
      <c r="I23" s="5">
        <f aca="true" t="shared" si="36" ref="I23:I29">D23*14.7/98*1.634*1+0.75*POWER(C23/2000,1.8)</f>
        <v>3.3561761170816213</v>
      </c>
      <c r="J23" s="1">
        <v>5.5</v>
      </c>
      <c r="K23" s="5">
        <f aca="true" t="shared" si="37" ref="K23:K29">(C23-775*SQRT(101.325/(101.325-19.6)-1))*D23/C23</f>
        <v>7.950953523589968</v>
      </c>
      <c r="L23" s="5">
        <f aca="true" t="shared" si="38" ref="L23:L29">D23*19.6/98*1.634*1+0.75*POWER(C23/2000,1.8)</f>
        <v>4.127792188001218</v>
      </c>
      <c r="M23" s="1">
        <v>5.5</v>
      </c>
      <c r="N23" s="5">
        <f aca="true" t="shared" si="39" ref="N23:N29">(C23-775*SQRT(101.325/(101.325-24.5)-1))*D23/C23</f>
        <v>7.722234400005033</v>
      </c>
      <c r="O23" s="5">
        <f aca="true" t="shared" si="40" ref="O23:O29">D23*24.5/98*1.634*1+0.75*POWER(C23/2000,1.8)</f>
        <v>4.899408258920811</v>
      </c>
      <c r="P23" s="1">
        <v>7.5</v>
      </c>
      <c r="Q23" s="5">
        <f aca="true" t="shared" si="41" ref="Q23:Q29">(C23-775*SQRT(101.325/(101.325-29.4)-1))*D23/C23</f>
        <v>7.4946452936950605</v>
      </c>
      <c r="R23" s="5">
        <f aca="true" t="shared" si="42" ref="R23:R29">D23*29.4/98*1.634*1+0.75*POWER(C23/2000,1.8)</f>
        <v>5.671024329840405</v>
      </c>
      <c r="S23" s="1">
        <v>7.5</v>
      </c>
      <c r="T23" s="5">
        <f aca="true" t="shared" si="43" ref="T23:T29">(C23-775*SQRT(101.325/(101.325-34.3)-1))*D23/C23</f>
        <v>7.262788646038564</v>
      </c>
      <c r="U23" s="5">
        <f aca="true" t="shared" si="44" ref="U23:U29">D23*34.3/98*1.634*1+0.75*POWER(C23/2000,1.8)</f>
        <v>6.44264040076</v>
      </c>
      <c r="V23" s="1">
        <v>7.5</v>
      </c>
      <c r="W23" s="5">
        <f aca="true" t="shared" si="45" ref="W23:W29">(C23-775*SQRT(101.325/(101.325-39.2)-1))*D23/C23</f>
        <v>7.021917488830562</v>
      </c>
      <c r="X23" s="5">
        <f aca="true" t="shared" si="46" ref="X23:X29">D23*39.2/98*1.634*1+0.75*POWER(C23/2000,1.8)</f>
        <v>7.214256471679597</v>
      </c>
      <c r="Y23" s="1">
        <v>11</v>
      </c>
      <c r="Z23" s="5">
        <f aca="true" t="shared" si="47" ref="Z23:Z29">(C23-775*SQRT(101.325/(101.325-44.1)-1))*D23/C23</f>
        <v>6.767211164383941</v>
      </c>
      <c r="AA23" s="5">
        <f aca="true" t="shared" si="48" ref="AA23:AA29">D23*44.1/98*1.634*1+0.75*POWER(C23/2000,1.8)</f>
        <v>7.985872542599191</v>
      </c>
      <c r="AB23" s="1">
        <v>11</v>
      </c>
      <c r="AC23" s="5">
        <f aca="true" t="shared" si="49" ref="AC23:AC29">(C23-775*SQRT(101.325/(101.325-49)-1))*D23/C23</f>
        <v>6.493206971040174</v>
      </c>
      <c r="AD23" s="5">
        <f aca="true" t="shared" si="50" ref="AD23:AD29">D23*49/98*1.634*1+0.75*POWER(C23/2000,1.8)</f>
        <v>8.757488613518785</v>
      </c>
      <c r="AE23" s="1">
        <v>11</v>
      </c>
      <c r="AF23" s="6">
        <v>2</v>
      </c>
    </row>
    <row r="24" spans="1:32" ht="45" customHeight="1">
      <c r="A24" s="188"/>
      <c r="B24" s="186"/>
      <c r="C24" s="1">
        <v>2700</v>
      </c>
      <c r="D24" s="5">
        <f t="shared" si="32"/>
        <v>10.625068296016453</v>
      </c>
      <c r="E24" s="5">
        <f t="shared" si="33"/>
        <v>9.627108977642402</v>
      </c>
      <c r="F24" s="5">
        <f t="shared" si="34"/>
        <v>3.0233836288570166</v>
      </c>
      <c r="G24" s="44">
        <v>4</v>
      </c>
      <c r="H24" s="5">
        <f t="shared" si="35"/>
        <v>9.368729670328177</v>
      </c>
      <c r="I24" s="5">
        <f t="shared" si="36"/>
        <v>3.8914517086415605</v>
      </c>
      <c r="J24" s="1">
        <v>5.5</v>
      </c>
      <c r="K24" s="5">
        <f t="shared" si="37"/>
        <v>9.131516667591796</v>
      </c>
      <c r="L24" s="5">
        <f t="shared" si="38"/>
        <v>4.759519788426105</v>
      </c>
      <c r="M24" s="1">
        <v>7.5</v>
      </c>
      <c r="N24" s="5">
        <f t="shared" si="39"/>
        <v>8.902797544006862</v>
      </c>
      <c r="O24" s="5">
        <f t="shared" si="40"/>
        <v>5.62758786821065</v>
      </c>
      <c r="P24" s="1">
        <v>7.5</v>
      </c>
      <c r="Q24" s="5">
        <f t="shared" si="41"/>
        <v>8.675208437696888</v>
      </c>
      <c r="R24" s="5">
        <f t="shared" si="42"/>
        <v>6.495655947995193</v>
      </c>
      <c r="S24" s="1">
        <v>7.5</v>
      </c>
      <c r="T24" s="5">
        <f t="shared" si="43"/>
        <v>8.443351790040392</v>
      </c>
      <c r="U24" s="5">
        <f t="shared" si="44"/>
        <v>7.363724027779737</v>
      </c>
      <c r="V24" s="1">
        <v>11</v>
      </c>
      <c r="W24" s="5">
        <f t="shared" si="45"/>
        <v>8.202480632832389</v>
      </c>
      <c r="X24" s="5">
        <f t="shared" si="46"/>
        <v>8.231792107564281</v>
      </c>
      <c r="Y24" s="1">
        <v>11</v>
      </c>
      <c r="Z24" s="5">
        <f t="shared" si="47"/>
        <v>7.947774308385769</v>
      </c>
      <c r="AA24" s="5">
        <f t="shared" si="48"/>
        <v>9.099860187348826</v>
      </c>
      <c r="AB24" s="1">
        <v>11</v>
      </c>
      <c r="AC24" s="5">
        <f t="shared" si="49"/>
        <v>7.673770115042003</v>
      </c>
      <c r="AD24" s="8">
        <f t="shared" si="50"/>
        <v>9.967928267133372</v>
      </c>
      <c r="AE24" s="1">
        <v>15</v>
      </c>
      <c r="AF24" s="6">
        <v>2</v>
      </c>
    </row>
    <row r="25" spans="1:32" ht="45" customHeight="1">
      <c r="A25" s="188"/>
      <c r="B25" s="186"/>
      <c r="C25" s="1">
        <v>3050</v>
      </c>
      <c r="D25" s="5">
        <f t="shared" si="32"/>
        <v>12.002391964018585</v>
      </c>
      <c r="E25" s="8">
        <f t="shared" si="33"/>
        <v>11.004432645644535</v>
      </c>
      <c r="F25" s="5">
        <f t="shared" si="34"/>
        <v>3.564240527910858</v>
      </c>
      <c r="G25" s="44">
        <v>5.5</v>
      </c>
      <c r="H25" s="8">
        <f t="shared" si="35"/>
        <v>10.746053338330311</v>
      </c>
      <c r="I25" s="5">
        <f t="shared" si="36"/>
        <v>4.5448359513711765</v>
      </c>
      <c r="J25" s="1">
        <v>7.5</v>
      </c>
      <c r="K25" s="8">
        <f t="shared" si="37"/>
        <v>10.50884033559393</v>
      </c>
      <c r="L25" s="5">
        <f t="shared" si="38"/>
        <v>5.525431374831495</v>
      </c>
      <c r="M25" s="1">
        <v>7.5</v>
      </c>
      <c r="N25" s="8">
        <f t="shared" si="39"/>
        <v>10.280121212008995</v>
      </c>
      <c r="O25" s="5">
        <f t="shared" si="40"/>
        <v>6.5060267982918125</v>
      </c>
      <c r="P25" s="1">
        <v>7.5</v>
      </c>
      <c r="Q25" s="5">
        <f t="shared" si="41"/>
        <v>10.05253210569902</v>
      </c>
      <c r="R25" s="5">
        <f t="shared" si="42"/>
        <v>7.486622221752132</v>
      </c>
      <c r="S25" s="1">
        <v>11</v>
      </c>
      <c r="T25" s="5">
        <f t="shared" si="43"/>
        <v>9.820675458042524</v>
      </c>
      <c r="U25" s="5">
        <f t="shared" si="44"/>
        <v>8.467217645212449</v>
      </c>
      <c r="V25" s="1">
        <v>11</v>
      </c>
      <c r="W25" s="5">
        <f t="shared" si="45"/>
        <v>9.579804300834521</v>
      </c>
      <c r="X25" s="5">
        <f t="shared" si="46"/>
        <v>9.447813068672769</v>
      </c>
      <c r="Y25" s="1">
        <v>11</v>
      </c>
      <c r="Z25" s="5">
        <f t="shared" si="47"/>
        <v>9.3250979763879</v>
      </c>
      <c r="AA25" s="8">
        <f t="shared" si="48"/>
        <v>10.428408492133087</v>
      </c>
      <c r="AB25" s="1">
        <v>15</v>
      </c>
      <c r="AC25" s="5">
        <f t="shared" si="49"/>
        <v>9.051093783044134</v>
      </c>
      <c r="AD25" s="8">
        <f t="shared" si="50"/>
        <v>11.409003915593404</v>
      </c>
      <c r="AE25" s="1">
        <v>15</v>
      </c>
      <c r="AF25" s="6">
        <v>2</v>
      </c>
    </row>
    <row r="26" spans="1:32" ht="45" customHeight="1">
      <c r="A26" s="188"/>
      <c r="B26" s="186"/>
      <c r="C26" s="1">
        <v>3500</v>
      </c>
      <c r="D26" s="5">
        <f t="shared" si="32"/>
        <v>13.773236680021327</v>
      </c>
      <c r="E26" s="8">
        <f t="shared" si="33"/>
        <v>12.775277361647277</v>
      </c>
      <c r="F26" s="5">
        <f t="shared" si="34"/>
        <v>4.304212580026785</v>
      </c>
      <c r="G26" s="44">
        <v>5.5</v>
      </c>
      <c r="H26" s="8">
        <f t="shared" si="35"/>
        <v>12.516898054333053</v>
      </c>
      <c r="I26" s="5">
        <f t="shared" si="36"/>
        <v>5.429486016784527</v>
      </c>
      <c r="J26" s="1">
        <v>7.5</v>
      </c>
      <c r="K26" s="8">
        <f t="shared" si="37"/>
        <v>12.27968505159667</v>
      </c>
      <c r="L26" s="5">
        <f t="shared" si="38"/>
        <v>6.554759453542269</v>
      </c>
      <c r="M26" s="1">
        <v>7.5</v>
      </c>
      <c r="N26" s="8">
        <f t="shared" si="39"/>
        <v>12.050965928011736</v>
      </c>
      <c r="O26" s="5">
        <f t="shared" si="40"/>
        <v>7.680032890300012</v>
      </c>
      <c r="P26" s="1">
        <v>11</v>
      </c>
      <c r="Q26" s="8">
        <f t="shared" si="41"/>
        <v>11.823376821701764</v>
      </c>
      <c r="R26" s="5">
        <f t="shared" si="42"/>
        <v>8.805306327057753</v>
      </c>
      <c r="S26" s="1">
        <v>11</v>
      </c>
      <c r="T26" s="8">
        <f t="shared" si="43"/>
        <v>11.591520174045268</v>
      </c>
      <c r="U26" s="5">
        <f t="shared" si="44"/>
        <v>9.930579763815498</v>
      </c>
      <c r="V26" s="1">
        <v>15</v>
      </c>
      <c r="W26" s="8">
        <f t="shared" si="45"/>
        <v>11.350649016837263</v>
      </c>
      <c r="X26" s="8">
        <f t="shared" si="46"/>
        <v>11.055853200573239</v>
      </c>
      <c r="Y26" s="1">
        <v>15</v>
      </c>
      <c r="Z26" s="8">
        <f t="shared" si="47"/>
        <v>11.095942692390643</v>
      </c>
      <c r="AA26" s="8">
        <f t="shared" si="48"/>
        <v>12.181126637330983</v>
      </c>
      <c r="AB26" s="1">
        <v>15</v>
      </c>
      <c r="AC26" s="8">
        <f t="shared" si="49"/>
        <v>10.821938499046876</v>
      </c>
      <c r="AD26" s="8">
        <f t="shared" si="50"/>
        <v>13.306400074088724</v>
      </c>
      <c r="AE26" s="1">
        <v>18.5</v>
      </c>
      <c r="AF26" s="6">
        <v>2</v>
      </c>
    </row>
    <row r="27" spans="1:32" ht="45" customHeight="1">
      <c r="A27" s="188"/>
      <c r="B27" s="186"/>
      <c r="C27" s="1">
        <v>3950</v>
      </c>
      <c r="D27" s="5">
        <f t="shared" si="32"/>
        <v>15.54408139602407</v>
      </c>
      <c r="E27" s="8">
        <f t="shared" si="33"/>
        <v>14.54612207765002</v>
      </c>
      <c r="F27" s="5">
        <f t="shared" si="34"/>
        <v>5.0930864835569185</v>
      </c>
      <c r="G27" s="44">
        <v>7.5</v>
      </c>
      <c r="H27" s="8">
        <f t="shared" si="35"/>
        <v>14.287742770335797</v>
      </c>
      <c r="I27" s="5">
        <f t="shared" si="36"/>
        <v>6.363037933612085</v>
      </c>
      <c r="J27" s="1">
        <v>7.5</v>
      </c>
      <c r="K27" s="8">
        <f t="shared" si="37"/>
        <v>14.050529767599414</v>
      </c>
      <c r="L27" s="5">
        <f t="shared" si="38"/>
        <v>7.632989383667251</v>
      </c>
      <c r="M27" s="1">
        <v>11</v>
      </c>
      <c r="N27" s="8">
        <f t="shared" si="39"/>
        <v>13.82181064401448</v>
      </c>
      <c r="O27" s="5">
        <f t="shared" si="40"/>
        <v>8.902940833722418</v>
      </c>
      <c r="P27" s="1">
        <v>11</v>
      </c>
      <c r="Q27" s="8">
        <f t="shared" si="41"/>
        <v>13.594221537704506</v>
      </c>
      <c r="R27" s="8">
        <f t="shared" si="42"/>
        <v>10.172892283777585</v>
      </c>
      <c r="S27" s="1">
        <v>15</v>
      </c>
      <c r="T27" s="8">
        <f t="shared" si="43"/>
        <v>13.36236489004801</v>
      </c>
      <c r="U27" s="8">
        <f t="shared" si="44"/>
        <v>11.442843733832749</v>
      </c>
      <c r="V27" s="1">
        <v>15</v>
      </c>
      <c r="W27" s="8">
        <f t="shared" si="45"/>
        <v>13.121493732840008</v>
      </c>
      <c r="X27" s="8">
        <f t="shared" si="46"/>
        <v>12.712795183887916</v>
      </c>
      <c r="Y27" s="1">
        <v>15</v>
      </c>
      <c r="Z27" s="8">
        <f t="shared" si="47"/>
        <v>12.866787408393387</v>
      </c>
      <c r="AA27" s="8">
        <f t="shared" si="48"/>
        <v>13.982746633943083</v>
      </c>
      <c r="AB27" s="1">
        <v>18.5</v>
      </c>
      <c r="AC27" s="8">
        <f t="shared" si="49"/>
        <v>12.59278321504962</v>
      </c>
      <c r="AD27" s="8">
        <f t="shared" si="50"/>
        <v>15.25269808399825</v>
      </c>
      <c r="AE27" s="1">
        <v>18.5</v>
      </c>
      <c r="AF27" s="6">
        <v>2</v>
      </c>
    </row>
    <row r="28" spans="1:32" ht="45" customHeight="1">
      <c r="A28" s="188"/>
      <c r="B28" s="186"/>
      <c r="C28" s="1">
        <v>4400</v>
      </c>
      <c r="D28" s="5">
        <f t="shared" si="32"/>
        <v>17.31492611202681</v>
      </c>
      <c r="E28" s="8">
        <f t="shared" si="33"/>
        <v>16.31696679365276</v>
      </c>
      <c r="F28" s="5">
        <f t="shared" si="34"/>
        <v>5.929690057291708</v>
      </c>
      <c r="G28" s="44">
        <v>7.5</v>
      </c>
      <c r="H28" s="8">
        <f t="shared" si="35"/>
        <v>16.058587486338535</v>
      </c>
      <c r="I28" s="5">
        <f t="shared" si="36"/>
        <v>7.344319520644298</v>
      </c>
      <c r="J28" s="1">
        <v>11</v>
      </c>
      <c r="K28" s="8">
        <f t="shared" si="37"/>
        <v>15.821374483602154</v>
      </c>
      <c r="L28" s="5">
        <f t="shared" si="38"/>
        <v>8.75894898399689</v>
      </c>
      <c r="M28" s="1">
        <v>11</v>
      </c>
      <c r="N28" s="8">
        <f t="shared" si="39"/>
        <v>15.59265536001722</v>
      </c>
      <c r="O28" s="8">
        <f t="shared" si="40"/>
        <v>10.173578447349477</v>
      </c>
      <c r="P28" s="1">
        <v>15</v>
      </c>
      <c r="Q28" s="8">
        <f t="shared" si="41"/>
        <v>15.365066253707248</v>
      </c>
      <c r="R28" s="8">
        <f t="shared" si="42"/>
        <v>11.588207910702069</v>
      </c>
      <c r="S28" s="1">
        <v>15</v>
      </c>
      <c r="T28" s="8">
        <f t="shared" si="43"/>
        <v>15.133209606050752</v>
      </c>
      <c r="U28" s="8">
        <f t="shared" si="44"/>
        <v>13.002837374054659</v>
      </c>
      <c r="V28" s="1">
        <v>18.5</v>
      </c>
      <c r="W28" s="8">
        <f t="shared" si="45"/>
        <v>14.892338448842747</v>
      </c>
      <c r="X28" s="8">
        <f t="shared" si="46"/>
        <v>14.417466837407252</v>
      </c>
      <c r="Y28" s="1">
        <v>18.5</v>
      </c>
      <c r="Z28" s="8">
        <f t="shared" si="47"/>
        <v>14.637632124396127</v>
      </c>
      <c r="AA28" s="8">
        <f t="shared" si="48"/>
        <v>15.83209630075984</v>
      </c>
      <c r="AB28" s="1">
        <v>18.5</v>
      </c>
      <c r="AC28" s="8">
        <f t="shared" si="49"/>
        <v>14.36362793105236</v>
      </c>
      <c r="AD28" s="8">
        <f t="shared" si="50"/>
        <v>17.24672576411243</v>
      </c>
      <c r="AE28" s="1">
        <v>22</v>
      </c>
      <c r="AF28" s="6">
        <v>2</v>
      </c>
    </row>
    <row r="29" spans="1:32" ht="45" customHeight="1">
      <c r="A29" s="189"/>
      <c r="B29" s="187"/>
      <c r="C29" s="7">
        <v>4700</v>
      </c>
      <c r="D29" s="12">
        <f t="shared" si="32"/>
        <v>18.49548925602864</v>
      </c>
      <c r="E29" s="20">
        <f t="shared" si="33"/>
        <v>17.49752993765459</v>
      </c>
      <c r="F29" s="12">
        <f t="shared" si="34"/>
        <v>6.513432774623437</v>
      </c>
      <c r="G29" s="46">
        <v>7.5</v>
      </c>
      <c r="H29" s="20">
        <f t="shared" si="35"/>
        <v>17.239150630340365</v>
      </c>
      <c r="I29" s="12">
        <f t="shared" si="36"/>
        <v>8.024514246840978</v>
      </c>
      <c r="J29" s="7">
        <v>11</v>
      </c>
      <c r="K29" s="20">
        <f t="shared" si="37"/>
        <v>17.001937627603986</v>
      </c>
      <c r="L29" s="12">
        <f t="shared" si="38"/>
        <v>9.535595719058518</v>
      </c>
      <c r="M29" s="7">
        <v>11</v>
      </c>
      <c r="N29" s="20">
        <f t="shared" si="39"/>
        <v>16.77321850401905</v>
      </c>
      <c r="O29" s="20">
        <f t="shared" si="40"/>
        <v>11.046677191276057</v>
      </c>
      <c r="P29" s="7">
        <v>15</v>
      </c>
      <c r="Q29" s="20">
        <f t="shared" si="41"/>
        <v>16.545629397709078</v>
      </c>
      <c r="R29" s="20">
        <f t="shared" si="42"/>
        <v>12.557758663493598</v>
      </c>
      <c r="S29" s="7">
        <v>15</v>
      </c>
      <c r="T29" s="20">
        <f t="shared" si="43"/>
        <v>16.313772750052582</v>
      </c>
      <c r="U29" s="20">
        <f t="shared" si="44"/>
        <v>14.068840135711136</v>
      </c>
      <c r="V29" s="7">
        <v>18.5</v>
      </c>
      <c r="W29" s="20">
        <f t="shared" si="45"/>
        <v>16.072901592844577</v>
      </c>
      <c r="X29" s="20">
        <f t="shared" si="46"/>
        <v>15.579921607928679</v>
      </c>
      <c r="Y29" s="7">
        <v>18.5</v>
      </c>
      <c r="Z29" s="20">
        <f t="shared" si="47"/>
        <v>15.818195268397957</v>
      </c>
      <c r="AA29" s="20">
        <f t="shared" si="48"/>
        <v>17.091003080146216</v>
      </c>
      <c r="AB29" s="7">
        <v>22</v>
      </c>
      <c r="AC29" s="20">
        <f t="shared" si="49"/>
        <v>15.544191075054192</v>
      </c>
      <c r="AD29" s="20">
        <f t="shared" si="50"/>
        <v>18.602084552363756</v>
      </c>
      <c r="AE29" s="7">
        <v>22</v>
      </c>
      <c r="AF29" s="13">
        <v>2</v>
      </c>
    </row>
    <row r="30" spans="1:32" ht="45" customHeight="1">
      <c r="A30" s="183" t="s">
        <v>43</v>
      </c>
      <c r="B30" s="2"/>
      <c r="C30" s="2">
        <v>2000</v>
      </c>
      <c r="D30" s="11">
        <f>PI()/2*0.526*POWER(0.171,2)*0.21*C30</f>
        <v>10.14722130915857</v>
      </c>
      <c r="E30" s="11">
        <f>(C30-755*SQRT(101.325/(101.325-9.8)-1))*D30/C30</f>
        <v>8.893770608608158</v>
      </c>
      <c r="F30" s="11">
        <f>D30*9.8/98*1.634*1+0.8*POWER(C30/2000,2.3)</f>
        <v>2.4580559619165108</v>
      </c>
      <c r="G30" s="43">
        <v>4</v>
      </c>
      <c r="H30" s="11">
        <f>(C30-755*SQRT(101.325/(101.325-14.7)-1))*D30/C30</f>
        <v>8.569242626557333</v>
      </c>
      <c r="I30" s="11">
        <f>D30*14.7/98*1.634*1+0.8*POWER(C30/2000,2.3)</f>
        <v>3.287083942874766</v>
      </c>
      <c r="J30" s="2">
        <v>4</v>
      </c>
      <c r="K30" s="11">
        <f>(C30-755*SQRT(101.325/(101.325-19.6)-1))*D30/C30</f>
        <v>8.271299815678008</v>
      </c>
      <c r="L30" s="11">
        <f>D30*19.6/98*1.634*1+0.8*POWER(C30/2000,2.3)</f>
        <v>4.116111923833021</v>
      </c>
      <c r="M30" s="2">
        <v>5.5</v>
      </c>
      <c r="N30" s="11">
        <f>(C30-755*SQRT(101.325/(101.325-24.5)-1))*D30/C30</f>
        <v>7.984025434439795</v>
      </c>
      <c r="O30" s="11">
        <f>D30*24.5/98*1.634*1+0.8*POWER(C30/2000,2.3)</f>
        <v>4.945139904791276</v>
      </c>
      <c r="P30" s="2">
        <v>7.5</v>
      </c>
      <c r="Q30" s="11">
        <f>(C30-755*SQRT(101.325/(101.325-29.4)-1))*D30/C30</f>
        <v>7.698170370521295</v>
      </c>
      <c r="R30" s="11">
        <f>D30*29.4/98*1.634*1+0.8*POWER(C30/2000,2.3)</f>
        <v>5.774167885749532</v>
      </c>
      <c r="S30" s="2">
        <v>7.5</v>
      </c>
      <c r="T30" s="11">
        <f>(C30-755*SQRT(101.325/(101.325-34.3)-1))*D30/C30</f>
        <v>7.4069552156732925</v>
      </c>
      <c r="U30" s="21">
        <f>D30*34.3/98*1.634*1+0.8*POWER(C30/2000,2.3)</f>
        <v>6.603195866707786</v>
      </c>
      <c r="V30" s="2">
        <v>7.5</v>
      </c>
      <c r="W30" s="11">
        <f>(C30-755*SQRT(101.325/(101.325-39.2)-1))*D30/C30</f>
        <v>7.104417712204045</v>
      </c>
      <c r="X30" s="11">
        <f>D30*39.2/98*1.634*1+0.8*POWER(C30/2000,2.3)</f>
        <v>7.432223847666042</v>
      </c>
      <c r="Y30" s="2">
        <v>11</v>
      </c>
      <c r="Z30" s="11">
        <f>(C30-755*SQRT(101.325/(101.325-44.1)-1))*D30/C30</f>
        <v>6.784503047413495</v>
      </c>
      <c r="AA30" s="11">
        <f>D30*44.1/98*1.634*1+0.8*POWER(C30/2000,2.3)</f>
        <v>8.261251828624298</v>
      </c>
      <c r="AB30" s="2">
        <v>11</v>
      </c>
      <c r="AC30" s="21"/>
      <c r="AD30" s="21"/>
      <c r="AE30" s="2"/>
      <c r="AF30" s="9">
        <v>2</v>
      </c>
    </row>
    <row r="31" spans="1:32" ht="45" customHeight="1">
      <c r="A31" s="173"/>
      <c r="B31" s="1"/>
      <c r="C31" s="1">
        <v>2400</v>
      </c>
      <c r="D31" s="5">
        <f aca="true" t="shared" si="51" ref="D31:D36">PI()/2*0.526*POWER(0.171,2)*0.21*C31</f>
        <v>12.176665570990284</v>
      </c>
      <c r="E31" s="8">
        <f aca="true" t="shared" si="52" ref="E31:E36">(C31-755*SQRT(101.325/(101.325-9.8)-1))*D31/C31</f>
        <v>10.923214870439873</v>
      </c>
      <c r="F31" s="5">
        <f aca="true" t="shared" si="53" ref="F31:F36">D31*9.8/98*1.634*1+0.8*POWER(C31/2000,2.3)</f>
        <v>3.2064325579418376</v>
      </c>
      <c r="G31" s="44">
        <v>4</v>
      </c>
      <c r="H31" s="8">
        <f aca="true" t="shared" si="54" ref="H31:H36">(C31-755*SQRT(101.325/(101.325-14.7)-1))*D31/C31</f>
        <v>10.598686888389047</v>
      </c>
      <c r="I31" s="5">
        <f aca="true" t="shared" si="55" ref="I31:I36">D31*14.7/98*1.634*1+0.8*POWER(C31/2000,2.3)</f>
        <v>4.2012661350917435</v>
      </c>
      <c r="J31" s="1">
        <v>5.5</v>
      </c>
      <c r="K31" s="8">
        <f aca="true" t="shared" si="56" ref="K31:K36">(C31-755*SQRT(101.325/(101.325-19.6)-1))*D31/C31</f>
        <v>10.300744077509721</v>
      </c>
      <c r="L31" s="5">
        <f aca="true" t="shared" si="57" ref="L31:L36">D31*19.6/98*1.634*1+0.8*POWER(C31/2000,2.3)</f>
        <v>5.19609971224165</v>
      </c>
      <c r="M31" s="1">
        <v>7.5</v>
      </c>
      <c r="N31" s="8">
        <f aca="true" t="shared" si="58" ref="N31:N36">(C31-755*SQRT(101.325/(101.325-24.5)-1))*D31/C31</f>
        <v>10.013469696271509</v>
      </c>
      <c r="O31" s="5">
        <f aca="true" t="shared" si="59" ref="O31:O36">D31*24.5/98*1.634*1+0.8*POWER(C31/2000,2.3)</f>
        <v>6.190933289391557</v>
      </c>
      <c r="P31" s="1">
        <v>7.5</v>
      </c>
      <c r="Q31" s="5">
        <f aca="true" t="shared" si="60" ref="Q31:Q36">(C31-755*SQRT(101.325/(101.325-29.4)-1))*D31/C31</f>
        <v>9.727614632353008</v>
      </c>
      <c r="R31" s="5">
        <f aca="true" t="shared" si="61" ref="R31:R36">D31*29.4/98*1.634*1+0.8*POWER(C31/2000,2.3)</f>
        <v>7.185766866541462</v>
      </c>
      <c r="S31" s="1">
        <v>11</v>
      </c>
      <c r="T31" s="5">
        <f aca="true" t="shared" si="62" ref="T31:T36">(C31-755*SQRT(101.325/(101.325-34.3)-1))*D31/C31</f>
        <v>9.436399477505006</v>
      </c>
      <c r="U31" s="8">
        <f aca="true" t="shared" si="63" ref="U31:U36">D31*34.3/98*1.634*1+0.8*POWER(C31/2000,2.3)</f>
        <v>8.180600443691368</v>
      </c>
      <c r="V31" s="1">
        <v>11</v>
      </c>
      <c r="W31" s="5">
        <f aca="true" t="shared" si="64" ref="W31:W36">(C31-755*SQRT(101.325/(101.325-39.2)-1))*D31/C31</f>
        <v>9.133861974035758</v>
      </c>
      <c r="X31" s="8">
        <f aca="true" t="shared" si="65" ref="X31:X36">D31*39.2/98*1.634*1+0.8*POWER(C31/2000,2.3)</f>
        <v>9.175434020841275</v>
      </c>
      <c r="Y31" s="1">
        <v>11</v>
      </c>
      <c r="Z31" s="5">
        <f aca="true" t="shared" si="66" ref="Z31:Z36">(C31-755*SQRT(101.325/(101.325-44.1)-1))*D31/C31</f>
        <v>8.81394730924521</v>
      </c>
      <c r="AA31" s="8">
        <f aca="true" t="shared" si="67" ref="AA31:AA36">D31*44.1/98*1.634*1+0.8*POWER(C31/2000,2.3)</f>
        <v>10.17026759799118</v>
      </c>
      <c r="AB31" s="1">
        <v>15</v>
      </c>
      <c r="AC31" s="5">
        <f aca="true" t="shared" si="68" ref="AC31:AC36">(C31-755*SQRT(101.325/(101.325-49)-1))*D31/C31</f>
        <v>8.469794254329035</v>
      </c>
      <c r="AD31" s="8">
        <f aca="true" t="shared" si="69" ref="AD31:AD36">D31*49/98*1.634*1+0.8*POWER(C31/2000,2.3)</f>
        <v>11.16510117514109</v>
      </c>
      <c r="AE31" s="1">
        <v>15</v>
      </c>
      <c r="AF31" s="6">
        <v>2</v>
      </c>
    </row>
    <row r="32" spans="1:32" ht="45" customHeight="1">
      <c r="A32" s="173"/>
      <c r="B32" s="1"/>
      <c r="C32" s="1">
        <v>2750</v>
      </c>
      <c r="D32" s="5">
        <f t="shared" si="51"/>
        <v>13.952429300093034</v>
      </c>
      <c r="E32" s="8">
        <f t="shared" si="52"/>
        <v>12.698978599542622</v>
      </c>
      <c r="F32" s="5">
        <f t="shared" si="53"/>
        <v>3.9439528969996074</v>
      </c>
      <c r="G32" s="44">
        <v>5.5</v>
      </c>
      <c r="H32" s="8">
        <f t="shared" si="54"/>
        <v>12.374450617491798</v>
      </c>
      <c r="I32" s="5">
        <f t="shared" si="55"/>
        <v>5.083866370817207</v>
      </c>
      <c r="J32" s="1">
        <v>7.5</v>
      </c>
      <c r="K32" s="8">
        <f t="shared" si="56"/>
        <v>12.07650780661247</v>
      </c>
      <c r="L32" s="5">
        <f t="shared" si="57"/>
        <v>6.22377984463481</v>
      </c>
      <c r="M32" s="1">
        <v>7.5</v>
      </c>
      <c r="N32" s="8">
        <f t="shared" si="58"/>
        <v>11.78923342537426</v>
      </c>
      <c r="O32" s="5">
        <f t="shared" si="59"/>
        <v>7.363693318452409</v>
      </c>
      <c r="P32" s="1">
        <v>11</v>
      </c>
      <c r="Q32" s="8">
        <f t="shared" si="60"/>
        <v>11.503378361455757</v>
      </c>
      <c r="R32" s="8">
        <f t="shared" si="61"/>
        <v>8.50360679227001</v>
      </c>
      <c r="S32" s="1">
        <v>11</v>
      </c>
      <c r="T32" s="8">
        <f t="shared" si="62"/>
        <v>11.212163206607755</v>
      </c>
      <c r="U32" s="8">
        <f t="shared" si="63"/>
        <v>9.64352026608761</v>
      </c>
      <c r="V32" s="1">
        <v>11</v>
      </c>
      <c r="W32" s="8">
        <f t="shared" si="64"/>
        <v>10.909625703138508</v>
      </c>
      <c r="X32" s="8">
        <f t="shared" si="65"/>
        <v>10.783433739905213</v>
      </c>
      <c r="Y32" s="1">
        <v>15</v>
      </c>
      <c r="Z32" s="8">
        <f t="shared" si="66"/>
        <v>10.589711038347959</v>
      </c>
      <c r="AA32" s="8">
        <f t="shared" si="67"/>
        <v>11.92334721372281</v>
      </c>
      <c r="AB32" s="1">
        <v>15</v>
      </c>
      <c r="AC32" s="8">
        <f t="shared" si="68"/>
        <v>10.245557983431784</v>
      </c>
      <c r="AD32" s="8">
        <f t="shared" si="69"/>
        <v>13.063260687540414</v>
      </c>
      <c r="AE32" s="1">
        <v>18.5</v>
      </c>
      <c r="AF32" s="6">
        <v>2</v>
      </c>
    </row>
    <row r="33" spans="1:32" ht="45" customHeight="1">
      <c r="A33" s="173"/>
      <c r="B33" s="1">
        <v>100</v>
      </c>
      <c r="C33" s="1">
        <v>3100</v>
      </c>
      <c r="D33" s="5">
        <f t="shared" si="51"/>
        <v>15.728193029195783</v>
      </c>
      <c r="E33" s="8">
        <f t="shared" si="52"/>
        <v>14.47474232864537</v>
      </c>
      <c r="F33" s="5">
        <f t="shared" si="53"/>
        <v>4.7620490401216395</v>
      </c>
      <c r="G33" s="44">
        <v>7.5</v>
      </c>
      <c r="H33" s="8">
        <f t="shared" si="54"/>
        <v>14.150214346594547</v>
      </c>
      <c r="I33" s="5">
        <f t="shared" si="55"/>
        <v>6.0470424106069345</v>
      </c>
      <c r="J33" s="1">
        <v>7.5</v>
      </c>
      <c r="K33" s="8">
        <f t="shared" si="56"/>
        <v>13.85227153571522</v>
      </c>
      <c r="L33" s="5">
        <f t="shared" si="57"/>
        <v>7.33203578109223</v>
      </c>
      <c r="M33" s="1">
        <v>11</v>
      </c>
      <c r="N33" s="8">
        <f t="shared" si="58"/>
        <v>13.564997154477009</v>
      </c>
      <c r="O33" s="5">
        <f t="shared" si="59"/>
        <v>8.617029151577526</v>
      </c>
      <c r="P33" s="1">
        <v>11</v>
      </c>
      <c r="Q33" s="8">
        <f t="shared" si="60"/>
        <v>13.279142090558507</v>
      </c>
      <c r="R33" s="8">
        <f t="shared" si="61"/>
        <v>9.902022522062822</v>
      </c>
      <c r="S33" s="1">
        <v>15</v>
      </c>
      <c r="T33" s="8">
        <f t="shared" si="62"/>
        <v>12.987926935710504</v>
      </c>
      <c r="U33" s="8">
        <f t="shared" si="63"/>
        <v>11.187015892548116</v>
      </c>
      <c r="V33" s="1">
        <v>15</v>
      </c>
      <c r="W33" s="8">
        <f t="shared" si="64"/>
        <v>12.685389432241255</v>
      </c>
      <c r="X33" s="8">
        <f t="shared" si="65"/>
        <v>12.472009263033412</v>
      </c>
      <c r="Y33" s="1">
        <v>15</v>
      </c>
      <c r="Z33" s="8">
        <f t="shared" si="66"/>
        <v>12.365474767450706</v>
      </c>
      <c r="AA33" s="8">
        <f t="shared" si="67"/>
        <v>13.75700263351871</v>
      </c>
      <c r="AB33" s="1">
        <v>18.5</v>
      </c>
      <c r="AC33" s="8">
        <f t="shared" si="68"/>
        <v>12.021321712534533</v>
      </c>
      <c r="AD33" s="8">
        <f t="shared" si="69"/>
        <v>15.041996004004002</v>
      </c>
      <c r="AE33" s="1">
        <v>18.5</v>
      </c>
      <c r="AF33" s="6">
        <v>2</v>
      </c>
    </row>
    <row r="34" spans="1:32" ht="45" customHeight="1">
      <c r="A34" s="173"/>
      <c r="B34" s="1"/>
      <c r="C34" s="1">
        <v>3500</v>
      </c>
      <c r="D34" s="5">
        <f t="shared" si="51"/>
        <v>17.757637291027496</v>
      </c>
      <c r="E34" s="8">
        <f t="shared" si="52"/>
        <v>16.504186590477083</v>
      </c>
      <c r="F34" s="5">
        <f t="shared" si="53"/>
        <v>5.799458592282246</v>
      </c>
      <c r="G34" s="44">
        <v>7.5</v>
      </c>
      <c r="H34" s="8">
        <f t="shared" si="54"/>
        <v>16.179658608426262</v>
      </c>
      <c r="I34" s="5">
        <f t="shared" si="55"/>
        <v>7.250257558959191</v>
      </c>
      <c r="J34" s="1">
        <v>11</v>
      </c>
      <c r="K34" s="8">
        <f t="shared" si="56"/>
        <v>15.881715797546933</v>
      </c>
      <c r="L34" s="5">
        <f t="shared" si="57"/>
        <v>8.701056525636139</v>
      </c>
      <c r="M34" s="1">
        <v>11</v>
      </c>
      <c r="N34" s="8">
        <f t="shared" si="58"/>
        <v>15.594441416308722</v>
      </c>
      <c r="O34" s="8">
        <f t="shared" si="59"/>
        <v>10.151855492313084</v>
      </c>
      <c r="P34" s="1">
        <v>15</v>
      </c>
      <c r="Q34" s="8">
        <f t="shared" si="60"/>
        <v>15.30858635239022</v>
      </c>
      <c r="R34" s="8">
        <f t="shared" si="61"/>
        <v>11.602654458990031</v>
      </c>
      <c r="S34" s="1">
        <v>15</v>
      </c>
      <c r="T34" s="8">
        <f t="shared" si="62"/>
        <v>15.01737119754222</v>
      </c>
      <c r="U34" s="8">
        <f t="shared" si="63"/>
        <v>13.053453425666977</v>
      </c>
      <c r="V34" s="1">
        <v>18.5</v>
      </c>
      <c r="W34" s="8">
        <f t="shared" si="64"/>
        <v>14.71483369407297</v>
      </c>
      <c r="X34" s="8">
        <f t="shared" si="65"/>
        <v>14.504252392343925</v>
      </c>
      <c r="Y34" s="1">
        <v>18.5</v>
      </c>
      <c r="Z34" s="8">
        <f t="shared" si="66"/>
        <v>14.39491902928242</v>
      </c>
      <c r="AA34" s="8">
        <f t="shared" si="67"/>
        <v>15.955051359020871</v>
      </c>
      <c r="AB34" s="1">
        <v>18.5</v>
      </c>
      <c r="AC34" s="8">
        <f t="shared" si="68"/>
        <v>14.050765974366245</v>
      </c>
      <c r="AD34" s="8">
        <f t="shared" si="69"/>
        <v>17.405850325697816</v>
      </c>
      <c r="AE34" s="1">
        <v>22</v>
      </c>
      <c r="AF34" s="6">
        <v>2</v>
      </c>
    </row>
    <row r="35" spans="1:32" ht="45" customHeight="1">
      <c r="A35" s="173"/>
      <c r="B35" s="1"/>
      <c r="C35" s="1">
        <v>3900</v>
      </c>
      <c r="D35" s="5">
        <f t="shared" si="51"/>
        <v>19.78708155285921</v>
      </c>
      <c r="E35" s="8">
        <f t="shared" si="52"/>
        <v>18.5336308523088</v>
      </c>
      <c r="F35" s="5">
        <f t="shared" si="53"/>
        <v>6.950012554768473</v>
      </c>
      <c r="G35" s="44">
        <v>11</v>
      </c>
      <c r="H35" s="8">
        <f t="shared" si="54"/>
        <v>18.209102870257972</v>
      </c>
      <c r="I35" s="5">
        <f t="shared" si="55"/>
        <v>8.56661711763707</v>
      </c>
      <c r="J35" s="1">
        <v>11</v>
      </c>
      <c r="K35" s="8">
        <f t="shared" si="56"/>
        <v>17.91116005937865</v>
      </c>
      <c r="L35" s="8">
        <f t="shared" si="57"/>
        <v>10.183221680505667</v>
      </c>
      <c r="M35" s="1">
        <v>15</v>
      </c>
      <c r="N35" s="8">
        <f t="shared" si="58"/>
        <v>17.623885678140432</v>
      </c>
      <c r="O35" s="8">
        <f t="shared" si="59"/>
        <v>11.799826243374266</v>
      </c>
      <c r="P35" s="1">
        <v>15</v>
      </c>
      <c r="Q35" s="8">
        <f t="shared" si="60"/>
        <v>17.338030614221935</v>
      </c>
      <c r="R35" s="8">
        <f t="shared" si="61"/>
        <v>13.416430806242863</v>
      </c>
      <c r="S35" s="1">
        <v>18.5</v>
      </c>
      <c r="T35" s="8">
        <f t="shared" si="62"/>
        <v>17.04681545937393</v>
      </c>
      <c r="U35" s="8">
        <f t="shared" si="63"/>
        <v>15.03303536911146</v>
      </c>
      <c r="V35" s="1">
        <v>18.5</v>
      </c>
      <c r="W35" s="8">
        <f t="shared" si="64"/>
        <v>16.744277955904685</v>
      </c>
      <c r="X35" s="8">
        <f t="shared" si="65"/>
        <v>16.649639931980055</v>
      </c>
      <c r="Y35" s="1">
        <v>22</v>
      </c>
      <c r="Z35" s="8">
        <f t="shared" si="66"/>
        <v>16.424363291114137</v>
      </c>
      <c r="AA35" s="8">
        <f t="shared" si="67"/>
        <v>18.266244494848653</v>
      </c>
      <c r="AB35" s="1">
        <v>22</v>
      </c>
      <c r="AC35" s="8">
        <f t="shared" si="68"/>
        <v>16.08021023619796</v>
      </c>
      <c r="AD35" s="8">
        <f t="shared" si="69"/>
        <v>19.88284905771725</v>
      </c>
      <c r="AE35" s="1">
        <v>30</v>
      </c>
      <c r="AF35" s="6">
        <v>2</v>
      </c>
    </row>
    <row r="36" spans="1:32" ht="45" customHeight="1" thickBot="1">
      <c r="A36" s="190"/>
      <c r="B36" s="15"/>
      <c r="C36" s="15">
        <v>4200</v>
      </c>
      <c r="D36" s="14">
        <f t="shared" si="51"/>
        <v>21.309164749233</v>
      </c>
      <c r="E36" s="23">
        <f t="shared" si="52"/>
        <v>20.05571404868259</v>
      </c>
      <c r="F36" s="14">
        <f t="shared" si="53"/>
        <v>7.889438262973801</v>
      </c>
      <c r="G36" s="45">
        <v>11</v>
      </c>
      <c r="H36" s="23">
        <f t="shared" si="54"/>
        <v>19.731186066631764</v>
      </c>
      <c r="I36" s="14">
        <f t="shared" si="55"/>
        <v>9.630397022986136</v>
      </c>
      <c r="J36" s="15">
        <v>11</v>
      </c>
      <c r="K36" s="23">
        <f t="shared" si="56"/>
        <v>19.433243255752433</v>
      </c>
      <c r="L36" s="23">
        <f t="shared" si="57"/>
        <v>11.371355782998473</v>
      </c>
      <c r="M36" s="15">
        <v>15</v>
      </c>
      <c r="N36" s="23">
        <f t="shared" si="58"/>
        <v>19.145968874514224</v>
      </c>
      <c r="O36" s="23">
        <f t="shared" si="59"/>
        <v>13.112314543010807</v>
      </c>
      <c r="P36" s="15">
        <v>18.5</v>
      </c>
      <c r="Q36" s="23">
        <f t="shared" si="60"/>
        <v>18.86011381059572</v>
      </c>
      <c r="R36" s="23">
        <f t="shared" si="61"/>
        <v>14.853273303023144</v>
      </c>
      <c r="S36" s="15">
        <v>18.5</v>
      </c>
      <c r="T36" s="23">
        <f t="shared" si="62"/>
        <v>18.56889865574772</v>
      </c>
      <c r="U36" s="23">
        <f t="shared" si="63"/>
        <v>16.594232063035477</v>
      </c>
      <c r="V36" s="15">
        <v>22</v>
      </c>
      <c r="W36" s="23">
        <f t="shared" si="64"/>
        <v>18.26636115227847</v>
      </c>
      <c r="X36" s="23">
        <f t="shared" si="65"/>
        <v>18.335190823047817</v>
      </c>
      <c r="Y36" s="15">
        <v>22</v>
      </c>
      <c r="Z36" s="23">
        <f t="shared" si="66"/>
        <v>17.946446487487922</v>
      </c>
      <c r="AA36" s="23">
        <f t="shared" si="67"/>
        <v>20.07614958306015</v>
      </c>
      <c r="AB36" s="15">
        <v>30</v>
      </c>
      <c r="AC36" s="23">
        <f t="shared" si="68"/>
        <v>17.60229343257175</v>
      </c>
      <c r="AD36" s="23">
        <f t="shared" si="69"/>
        <v>21.817108343072487</v>
      </c>
      <c r="AE36" s="15">
        <v>30</v>
      </c>
      <c r="AF36" s="16">
        <v>2</v>
      </c>
    </row>
    <row r="37" spans="1:32" ht="105" customHeight="1">
      <c r="A37" s="29"/>
      <c r="B37" s="29"/>
      <c r="C37" s="29"/>
      <c r="D37" s="30"/>
      <c r="E37" s="30"/>
      <c r="F37" s="30"/>
      <c r="G37" s="30"/>
      <c r="H37" s="31"/>
      <c r="I37" s="32"/>
      <c r="J37" s="29"/>
      <c r="K37" s="32"/>
      <c r="L37" s="32"/>
      <c r="M37" s="29"/>
      <c r="N37" s="32"/>
      <c r="O37" s="32"/>
      <c r="P37" s="29"/>
      <c r="Q37" s="32"/>
      <c r="R37" s="32"/>
      <c r="S37" s="29"/>
      <c r="T37" s="32"/>
      <c r="U37" s="32"/>
      <c r="V37" s="29"/>
      <c r="W37" s="32"/>
      <c r="X37" s="32"/>
      <c r="Y37" s="29"/>
      <c r="Z37" s="32"/>
      <c r="AA37" s="32"/>
      <c r="AB37" s="29"/>
      <c r="AC37" s="32"/>
      <c r="AD37" s="32"/>
      <c r="AE37" s="29"/>
      <c r="AF37" s="29"/>
    </row>
    <row r="38" spans="1:32" ht="96.75" customHeight="1" thickBot="1">
      <c r="A38" s="168" t="s">
        <v>104</v>
      </c>
      <c r="B38" s="169"/>
      <c r="C38" s="170"/>
      <c r="D38" s="170"/>
      <c r="E38" s="170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</row>
    <row r="39" spans="1:32" ht="45" customHeight="1">
      <c r="A39" s="172" t="s">
        <v>67</v>
      </c>
      <c r="B39" s="174" t="s">
        <v>24</v>
      </c>
      <c r="C39" s="124" t="s">
        <v>68</v>
      </c>
      <c r="D39" s="125" t="s">
        <v>69</v>
      </c>
      <c r="E39" s="176" t="s">
        <v>90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8"/>
      <c r="AF39" s="126" t="s">
        <v>71</v>
      </c>
    </row>
    <row r="40" spans="1:32" ht="45" customHeight="1">
      <c r="A40" s="173"/>
      <c r="B40" s="175"/>
      <c r="C40" s="1" t="s">
        <v>72</v>
      </c>
      <c r="D40" s="128" t="s">
        <v>106</v>
      </c>
      <c r="E40" s="179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1"/>
      <c r="AF40" s="127" t="s">
        <v>73</v>
      </c>
    </row>
    <row r="41" spans="1:32" ht="45" customHeight="1">
      <c r="A41" s="173" t="s">
        <v>74</v>
      </c>
      <c r="B41" s="1" t="s">
        <v>75</v>
      </c>
      <c r="C41" s="1" t="s">
        <v>76</v>
      </c>
      <c r="D41" s="5" t="s">
        <v>77</v>
      </c>
      <c r="E41" s="164" t="s">
        <v>91</v>
      </c>
      <c r="F41" s="165"/>
      <c r="G41" s="165"/>
      <c r="H41" s="164" t="s">
        <v>92</v>
      </c>
      <c r="I41" s="165"/>
      <c r="J41" s="165"/>
      <c r="K41" s="164" t="s">
        <v>93</v>
      </c>
      <c r="L41" s="165"/>
      <c r="M41" s="165"/>
      <c r="N41" s="164" t="s">
        <v>94</v>
      </c>
      <c r="O41" s="165"/>
      <c r="P41" s="165"/>
      <c r="Q41" s="164" t="s">
        <v>95</v>
      </c>
      <c r="R41" s="165"/>
      <c r="S41" s="165"/>
      <c r="T41" s="164" t="s">
        <v>96</v>
      </c>
      <c r="U41" s="165"/>
      <c r="V41" s="165"/>
      <c r="W41" s="164" t="s">
        <v>97</v>
      </c>
      <c r="X41" s="165"/>
      <c r="Y41" s="165"/>
      <c r="Z41" s="164" t="s">
        <v>98</v>
      </c>
      <c r="AA41" s="165"/>
      <c r="AB41" s="165"/>
      <c r="AC41" s="164" t="s">
        <v>99</v>
      </c>
      <c r="AD41" s="165"/>
      <c r="AE41" s="166"/>
      <c r="AF41" s="167" t="s">
        <v>27</v>
      </c>
    </row>
    <row r="42" spans="1:63" ht="45" customHeight="1">
      <c r="A42" s="182"/>
      <c r="B42" s="33" t="s">
        <v>86</v>
      </c>
      <c r="C42" s="33" t="s">
        <v>87</v>
      </c>
      <c r="D42" s="34" t="s">
        <v>89</v>
      </c>
      <c r="E42" s="35" t="s">
        <v>63</v>
      </c>
      <c r="F42" s="36" t="s">
        <v>64</v>
      </c>
      <c r="G42" s="37" t="s">
        <v>65</v>
      </c>
      <c r="H42" s="35" t="s">
        <v>63</v>
      </c>
      <c r="I42" s="36" t="s">
        <v>64</v>
      </c>
      <c r="J42" s="37" t="s">
        <v>65</v>
      </c>
      <c r="K42" s="35" t="s">
        <v>63</v>
      </c>
      <c r="L42" s="36" t="s">
        <v>64</v>
      </c>
      <c r="M42" s="37" t="s">
        <v>65</v>
      </c>
      <c r="N42" s="35" t="s">
        <v>63</v>
      </c>
      <c r="O42" s="36" t="s">
        <v>64</v>
      </c>
      <c r="P42" s="37" t="s">
        <v>65</v>
      </c>
      <c r="Q42" s="35" t="s">
        <v>63</v>
      </c>
      <c r="R42" s="36" t="s">
        <v>64</v>
      </c>
      <c r="S42" s="37" t="s">
        <v>65</v>
      </c>
      <c r="T42" s="35" t="s">
        <v>63</v>
      </c>
      <c r="U42" s="36" t="s">
        <v>64</v>
      </c>
      <c r="V42" s="37" t="s">
        <v>65</v>
      </c>
      <c r="W42" s="35" t="s">
        <v>63</v>
      </c>
      <c r="X42" s="36" t="s">
        <v>64</v>
      </c>
      <c r="Y42" s="37" t="s">
        <v>65</v>
      </c>
      <c r="Z42" s="35" t="s">
        <v>63</v>
      </c>
      <c r="AA42" s="36" t="s">
        <v>64</v>
      </c>
      <c r="AB42" s="37" t="s">
        <v>65</v>
      </c>
      <c r="AC42" s="35" t="s">
        <v>63</v>
      </c>
      <c r="AD42" s="36" t="s">
        <v>64</v>
      </c>
      <c r="AE42" s="37" t="s">
        <v>65</v>
      </c>
      <c r="AF42" s="167"/>
      <c r="AH42" s="24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</row>
    <row r="43" spans="1:32" ht="45" customHeight="1">
      <c r="A43" s="183" t="s">
        <v>44</v>
      </c>
      <c r="B43" s="2"/>
      <c r="C43" s="2">
        <v>2000</v>
      </c>
      <c r="D43" s="11">
        <f>PI()/2*0.526*POWER(0.171,2)*0.29*C43</f>
        <v>14.012829426933264</v>
      </c>
      <c r="E43" s="21">
        <f>(C43-658*SQRT(101.325/(101.325-9.8)-1))*D43/C43</f>
        <v>12.504261387330427</v>
      </c>
      <c r="F43" s="11">
        <f>D43*9.8/98*1.634*1+1*POWER(C43/2000,2.3)</f>
        <v>3.289696328360895</v>
      </c>
      <c r="G43" s="43">
        <v>5.5</v>
      </c>
      <c r="H43" s="21">
        <f>(C43-658*SQRT(101.325/(101.325-14.7)-1))*D43/C43</f>
        <v>12.113681573171247</v>
      </c>
      <c r="I43" s="11">
        <f>D43*14.7/98*1.634*1+1*POWER(C43/2000,2.3)</f>
        <v>4.434544492541342</v>
      </c>
      <c r="J43" s="2">
        <v>5.5</v>
      </c>
      <c r="K43" s="21">
        <f>(C43-658*SQRT(101.325/(101.325-19.6)-1))*D43/C43</f>
        <v>11.755097863477188</v>
      </c>
      <c r="L43" s="11">
        <f>D43*19.6/98*1.634*1+1*POWER(C43/2000,2.3)</f>
        <v>5.57939265672179</v>
      </c>
      <c r="M43" s="2">
        <v>7.5</v>
      </c>
      <c r="N43" s="21">
        <f>(C43-658*SQRT(101.325/(101.325-24.5)-1))*D43/C43</f>
        <v>11.409353950340162</v>
      </c>
      <c r="O43" s="11">
        <f>D43*24.5/98*1.634*1+1*POWER(C43/2000,2.3)</f>
        <v>6.724240820902238</v>
      </c>
      <c r="P43" s="2">
        <v>11</v>
      </c>
      <c r="Q43" s="21">
        <f>(C43-658*SQRT(101.325/(101.325-29.4)-1))*D43/C43</f>
        <v>11.065318231028092</v>
      </c>
      <c r="R43" s="11">
        <f>D43*29.4/98*1.634*1+1*POWER(C43/2000,2.3)</f>
        <v>7.869088985082684</v>
      </c>
      <c r="S43" s="2">
        <v>11</v>
      </c>
      <c r="T43" s="21">
        <f>(C43-658*SQRT(101.325/(101.325-34.3)-1))*D43/C43</f>
        <v>10.714831470712129</v>
      </c>
      <c r="U43" s="11">
        <f>D43*34.3/98*1.634*1+1*POWER(C43/2000,2.3)</f>
        <v>9.013937149263132</v>
      </c>
      <c r="V43" s="2">
        <v>11</v>
      </c>
      <c r="W43" s="21">
        <f>(C43-658*SQRT(101.325/(101.325-39.2)-1))*D43/C43</f>
        <v>10.350717901415365</v>
      </c>
      <c r="X43" s="21">
        <f>D43*39.2/98*1.634*1+1*POWER(C43/2000,2.3)</f>
        <v>10.15878531344358</v>
      </c>
      <c r="Y43" s="2">
        <v>15</v>
      </c>
      <c r="Z43" s="11">
        <f>(C43-658*SQRT(101.325/(101.325-44.1)-1))*D43/C43</f>
        <v>9.965690362245814</v>
      </c>
      <c r="AA43" s="21">
        <f>D43*44.1/98*1.634*1+1*POWER(C43/2000,2.3)</f>
        <v>11.303633477624029</v>
      </c>
      <c r="AB43" s="2">
        <v>15</v>
      </c>
      <c r="AC43" s="21"/>
      <c r="AD43" s="21"/>
      <c r="AE43" s="2"/>
      <c r="AF43" s="9">
        <v>2</v>
      </c>
    </row>
    <row r="44" spans="1:32" ht="45" customHeight="1">
      <c r="A44" s="173"/>
      <c r="B44" s="1"/>
      <c r="C44" s="1">
        <v>2400</v>
      </c>
      <c r="D44" s="5">
        <f aca="true" t="shared" si="70" ref="D44:D49">PI()/2*0.526*POWER(0.171,2)*0.29*C44</f>
        <v>16.815395312319918</v>
      </c>
      <c r="E44" s="8">
        <f aca="true" t="shared" si="71" ref="E44:E49">(C44-658*SQRT(101.325/(101.325-9.8)-1))*D44/C44</f>
        <v>15.306827272717083</v>
      </c>
      <c r="F44" s="5">
        <f aca="true" t="shared" si="72" ref="F44:F49">D44*9.8/98*1.634*1+1*POWER(C44/2000,2.3)</f>
        <v>4.2685923485856065</v>
      </c>
      <c r="G44" s="44">
        <v>5.5</v>
      </c>
      <c r="H44" s="8">
        <f aca="true" t="shared" si="73" ref="H44:H49">(C44-658*SQRT(101.325/(101.325-14.7)-1))*D44/C44</f>
        <v>14.9162474585579</v>
      </c>
      <c r="I44" s="5">
        <f aca="true" t="shared" si="74" ref="I44:I49">D44*14.7/98*1.634*1+1*POWER(C44/2000,2.3)</f>
        <v>5.642410145602144</v>
      </c>
      <c r="J44" s="1">
        <v>7.5</v>
      </c>
      <c r="K44" s="8">
        <f aca="true" t="shared" si="75" ref="K44:K49">(C44-658*SQRT(101.325/(101.325-19.6)-1))*D44/C44</f>
        <v>14.557663748863842</v>
      </c>
      <c r="L44" s="5">
        <f aca="true" t="shared" si="76" ref="L44:L49">D44*19.6/98*1.634*1+1*POWER(C44/2000,2.3)</f>
        <v>7.016227942618681</v>
      </c>
      <c r="M44" s="1">
        <v>11</v>
      </c>
      <c r="N44" s="8">
        <f aca="true" t="shared" si="77" ref="N44:N49">(C44-658*SQRT(101.325/(101.325-24.5)-1))*D44/C44</f>
        <v>14.211919835726816</v>
      </c>
      <c r="O44" s="5">
        <f aca="true" t="shared" si="78" ref="O44:O49">D44*24.5/98*1.634*1+1*POWER(C44/2000,2.3)</f>
        <v>8.390045739635218</v>
      </c>
      <c r="P44" s="1">
        <v>11</v>
      </c>
      <c r="Q44" s="8">
        <f aca="true" t="shared" si="79" ref="Q44:Q49">(C44-658*SQRT(101.325/(101.325-29.4)-1))*D44/C44</f>
        <v>13.867884116414746</v>
      </c>
      <c r="R44" s="5">
        <f aca="true" t="shared" si="80" ref="R44:R49">D44*29.4/98*1.634*1+1*POWER(C44/2000,2.3)</f>
        <v>9.763863536651755</v>
      </c>
      <c r="S44" s="1">
        <v>11</v>
      </c>
      <c r="T44" s="8">
        <f aca="true" t="shared" si="81" ref="T44:T49">(C44-658*SQRT(101.325/(101.325-34.3)-1))*D44/C44</f>
        <v>13.517397356098785</v>
      </c>
      <c r="U44" s="8">
        <f aca="true" t="shared" si="82" ref="U44:U49">D44*34.3/98*1.634*1+1*POWER(C44/2000,2.3)</f>
        <v>11.13768133366829</v>
      </c>
      <c r="V44" s="1">
        <v>15</v>
      </c>
      <c r="W44" s="8">
        <f aca="true" t="shared" si="83" ref="W44:W49">(C44-658*SQRT(101.325/(101.325-39.2)-1))*D44/C44</f>
        <v>13.15328378680202</v>
      </c>
      <c r="X44" s="8">
        <f aca="true" t="shared" si="84" ref="X44:X49">D44*39.2/98*1.634*1+1*POWER(C44/2000,2.3)</f>
        <v>12.511499130684829</v>
      </c>
      <c r="Y44" s="1">
        <v>15</v>
      </c>
      <c r="Z44" s="8">
        <f aca="true" t="shared" si="85" ref="Z44:Z49">(C44-658*SQRT(101.325/(101.325-44.1)-1))*D44/C44</f>
        <v>12.768256247632468</v>
      </c>
      <c r="AA44" s="8">
        <f aca="true" t="shared" si="86" ref="AA44:AA49">D44*44.1/98*1.634*1+1*POWER(C44/2000,2.3)</f>
        <v>13.885316927701368</v>
      </c>
      <c r="AB44" s="1">
        <v>18.5</v>
      </c>
      <c r="AC44" s="8">
        <f aca="true" t="shared" si="87" ref="AC44:AC49">(C44-658*SQRT(101.325/(101.325-49)-1))*D44/C44</f>
        <v>12.354057030104213</v>
      </c>
      <c r="AD44" s="8">
        <f aca="true" t="shared" si="88" ref="AD44:AD49">D44*49/98*1.634*1+1*POWER(C44/2000,2.3)</f>
        <v>15.259134724717903</v>
      </c>
      <c r="AE44" s="1">
        <v>18.5</v>
      </c>
      <c r="AF44" s="6">
        <v>2</v>
      </c>
    </row>
    <row r="45" spans="1:32" ht="45" customHeight="1">
      <c r="A45" s="173"/>
      <c r="B45" s="1"/>
      <c r="C45" s="1">
        <v>2750</v>
      </c>
      <c r="D45" s="5">
        <f t="shared" si="70"/>
        <v>19.26764046203324</v>
      </c>
      <c r="E45" s="8">
        <f t="shared" si="71"/>
        <v>17.7590724224304</v>
      </c>
      <c r="F45" s="5">
        <f t="shared" si="72"/>
        <v>5.228489888201738</v>
      </c>
      <c r="G45" s="44">
        <v>7.5</v>
      </c>
      <c r="H45" s="8">
        <f t="shared" si="73"/>
        <v>17.36849260827122</v>
      </c>
      <c r="I45" s="5">
        <f t="shared" si="74"/>
        <v>6.802656113949853</v>
      </c>
      <c r="J45" s="1">
        <v>11</v>
      </c>
      <c r="K45" s="8">
        <f t="shared" si="75"/>
        <v>17.009908898577162</v>
      </c>
      <c r="L45" s="5">
        <f t="shared" si="76"/>
        <v>8.376822339697968</v>
      </c>
      <c r="M45" s="1">
        <v>11</v>
      </c>
      <c r="N45" s="8">
        <f t="shared" si="77"/>
        <v>16.664164985440134</v>
      </c>
      <c r="O45" s="5">
        <f t="shared" si="78"/>
        <v>9.950988565446083</v>
      </c>
      <c r="P45" s="1">
        <v>15</v>
      </c>
      <c r="Q45" s="8">
        <f t="shared" si="79"/>
        <v>16.320129266128067</v>
      </c>
      <c r="R45" s="8">
        <f t="shared" si="80"/>
        <v>11.5251547911942</v>
      </c>
      <c r="S45" s="1">
        <v>15</v>
      </c>
      <c r="T45" s="8">
        <f t="shared" si="81"/>
        <v>15.969642505812104</v>
      </c>
      <c r="U45" s="8">
        <f t="shared" si="82"/>
        <v>13.099321016942312</v>
      </c>
      <c r="V45" s="1">
        <v>18.5</v>
      </c>
      <c r="W45" s="8">
        <f t="shared" si="83"/>
        <v>15.60552893651534</v>
      </c>
      <c r="X45" s="8">
        <f t="shared" si="84"/>
        <v>14.673487242690431</v>
      </c>
      <c r="Y45" s="1">
        <v>18.5</v>
      </c>
      <c r="Z45" s="8">
        <f t="shared" si="85"/>
        <v>15.220501397345787</v>
      </c>
      <c r="AA45" s="8">
        <f t="shared" si="86"/>
        <v>16.247653468438546</v>
      </c>
      <c r="AB45" s="1">
        <v>18.5</v>
      </c>
      <c r="AC45" s="8">
        <f t="shared" si="87"/>
        <v>14.806302179817534</v>
      </c>
      <c r="AD45" s="8">
        <f t="shared" si="88"/>
        <v>17.82181969418666</v>
      </c>
      <c r="AE45" s="1">
        <v>22</v>
      </c>
      <c r="AF45" s="6">
        <v>2</v>
      </c>
    </row>
    <row r="46" spans="1:32" ht="45" customHeight="1">
      <c r="A46" s="173"/>
      <c r="B46" s="1">
        <v>150</v>
      </c>
      <c r="C46" s="1">
        <v>3100</v>
      </c>
      <c r="D46" s="5">
        <f t="shared" si="70"/>
        <v>21.71988561174656</v>
      </c>
      <c r="E46" s="8">
        <f t="shared" si="71"/>
        <v>20.211317572143724</v>
      </c>
      <c r="F46" s="5">
        <f t="shared" si="72"/>
        <v>6.289107182898198</v>
      </c>
      <c r="G46" s="44">
        <v>7.5</v>
      </c>
      <c r="H46" s="8">
        <f t="shared" si="73"/>
        <v>19.820737757984542</v>
      </c>
      <c r="I46" s="5">
        <f t="shared" si="74"/>
        <v>8.063621837377891</v>
      </c>
      <c r="J46" s="1">
        <v>11</v>
      </c>
      <c r="K46" s="8">
        <f t="shared" si="75"/>
        <v>19.462154048290483</v>
      </c>
      <c r="L46" s="5">
        <f t="shared" si="76"/>
        <v>9.838136491857586</v>
      </c>
      <c r="M46" s="1">
        <v>15</v>
      </c>
      <c r="N46" s="8">
        <f t="shared" si="77"/>
        <v>19.11641013515346</v>
      </c>
      <c r="O46" s="8">
        <f t="shared" si="78"/>
        <v>11.61265114633728</v>
      </c>
      <c r="P46" s="1">
        <v>15</v>
      </c>
      <c r="Q46" s="8">
        <f t="shared" si="79"/>
        <v>18.772374415841387</v>
      </c>
      <c r="R46" s="8">
        <f t="shared" si="80"/>
        <v>13.387165800816971</v>
      </c>
      <c r="S46" s="1">
        <v>18.5</v>
      </c>
      <c r="T46" s="8">
        <f t="shared" si="81"/>
        <v>18.421887655525424</v>
      </c>
      <c r="U46" s="8">
        <f t="shared" si="82"/>
        <v>15.161680455296665</v>
      </c>
      <c r="V46" s="1">
        <v>18.5</v>
      </c>
      <c r="W46" s="8">
        <f t="shared" si="83"/>
        <v>18.057774086228658</v>
      </c>
      <c r="X46" s="8">
        <f t="shared" si="84"/>
        <v>16.93619510977636</v>
      </c>
      <c r="Y46" s="1">
        <v>22</v>
      </c>
      <c r="Z46" s="8">
        <f t="shared" si="85"/>
        <v>17.67274654705911</v>
      </c>
      <c r="AA46" s="8">
        <f t="shared" si="86"/>
        <v>18.710709764256055</v>
      </c>
      <c r="AB46" s="1">
        <v>22</v>
      </c>
      <c r="AC46" s="8">
        <f t="shared" si="87"/>
        <v>17.258547329530856</v>
      </c>
      <c r="AD46" s="8">
        <f t="shared" si="88"/>
        <v>20.48522441873575</v>
      </c>
      <c r="AE46" s="1">
        <v>30</v>
      </c>
      <c r="AF46" s="6">
        <v>2</v>
      </c>
    </row>
    <row r="47" spans="1:32" ht="45" customHeight="1">
      <c r="A47" s="173"/>
      <c r="B47" s="1"/>
      <c r="C47" s="1">
        <v>3500</v>
      </c>
      <c r="D47" s="5">
        <f t="shared" si="70"/>
        <v>24.52245149713321</v>
      </c>
      <c r="E47" s="8">
        <f t="shared" si="71"/>
        <v>23.013883457530373</v>
      </c>
      <c r="F47" s="5">
        <f t="shared" si="72"/>
        <v>7.629294398292007</v>
      </c>
      <c r="G47" s="44">
        <v>11</v>
      </c>
      <c r="H47" s="8">
        <f t="shared" si="73"/>
        <v>22.623303643371194</v>
      </c>
      <c r="I47" s="5">
        <f t="shared" si="74"/>
        <v>9.632778685607791</v>
      </c>
      <c r="J47" s="1">
        <v>11</v>
      </c>
      <c r="K47" s="8">
        <f t="shared" si="75"/>
        <v>22.264719933677135</v>
      </c>
      <c r="L47" s="8">
        <f t="shared" si="76"/>
        <v>11.636262972923575</v>
      </c>
      <c r="M47" s="1">
        <v>15</v>
      </c>
      <c r="N47" s="8">
        <f t="shared" si="77"/>
        <v>21.918976020540107</v>
      </c>
      <c r="O47" s="8">
        <f t="shared" si="78"/>
        <v>13.639747260239357</v>
      </c>
      <c r="P47" s="1">
        <v>18.5</v>
      </c>
      <c r="Q47" s="8">
        <f t="shared" si="79"/>
        <v>21.57494030122804</v>
      </c>
      <c r="R47" s="8">
        <f t="shared" si="80"/>
        <v>15.643231547555141</v>
      </c>
      <c r="S47" s="1">
        <v>18.5</v>
      </c>
      <c r="T47" s="8">
        <f t="shared" si="81"/>
        <v>21.224453540912076</v>
      </c>
      <c r="U47" s="8">
        <f t="shared" si="82"/>
        <v>17.64671583487092</v>
      </c>
      <c r="V47" s="1">
        <v>22</v>
      </c>
      <c r="W47" s="8">
        <f t="shared" si="83"/>
        <v>20.860339971615314</v>
      </c>
      <c r="X47" s="8">
        <f t="shared" si="84"/>
        <v>19.650200122186707</v>
      </c>
      <c r="Y47" s="1">
        <v>30</v>
      </c>
      <c r="Z47" s="8">
        <f t="shared" si="85"/>
        <v>20.47531243244576</v>
      </c>
      <c r="AA47" s="8">
        <f t="shared" si="86"/>
        <v>21.65368440950249</v>
      </c>
      <c r="AB47" s="1">
        <v>30</v>
      </c>
      <c r="AC47" s="8">
        <f t="shared" si="87"/>
        <v>20.061113214917505</v>
      </c>
      <c r="AD47" s="8">
        <f t="shared" si="88"/>
        <v>23.65716869681827</v>
      </c>
      <c r="AE47" s="1">
        <v>30</v>
      </c>
      <c r="AF47" s="6">
        <v>2</v>
      </c>
    </row>
    <row r="48" spans="1:32" ht="45" customHeight="1">
      <c r="A48" s="173"/>
      <c r="B48" s="1"/>
      <c r="C48" s="1">
        <v>3900</v>
      </c>
      <c r="D48" s="5">
        <f t="shared" si="70"/>
        <v>27.325017382519864</v>
      </c>
      <c r="E48" s="8">
        <f t="shared" si="71"/>
        <v>25.81644934291703</v>
      </c>
      <c r="F48" s="5">
        <f t="shared" si="72"/>
        <v>9.110912126592844</v>
      </c>
      <c r="G48" s="44">
        <v>11</v>
      </c>
      <c r="H48" s="8">
        <f t="shared" si="73"/>
        <v>25.425869528757847</v>
      </c>
      <c r="I48" s="8">
        <f t="shared" si="74"/>
        <v>11.343366046744716</v>
      </c>
      <c r="J48" s="1">
        <v>15</v>
      </c>
      <c r="K48" s="8">
        <f t="shared" si="75"/>
        <v>25.067285819063787</v>
      </c>
      <c r="L48" s="8">
        <f t="shared" si="76"/>
        <v>13.575819966896589</v>
      </c>
      <c r="M48" s="1">
        <v>18.5</v>
      </c>
      <c r="N48" s="8">
        <f t="shared" si="77"/>
        <v>24.72154190592676</v>
      </c>
      <c r="O48" s="8">
        <f t="shared" si="78"/>
        <v>15.808273887048461</v>
      </c>
      <c r="P48" s="1">
        <v>18.5</v>
      </c>
      <c r="Q48" s="8">
        <f t="shared" si="79"/>
        <v>24.377506186614692</v>
      </c>
      <c r="R48" s="8">
        <f t="shared" si="80"/>
        <v>18.040727807200334</v>
      </c>
      <c r="S48" s="1">
        <v>22</v>
      </c>
      <c r="T48" s="8">
        <f t="shared" si="81"/>
        <v>24.02701942629873</v>
      </c>
      <c r="U48" s="8">
        <f t="shared" si="82"/>
        <v>20.273181727352206</v>
      </c>
      <c r="V48" s="1">
        <v>30</v>
      </c>
      <c r="W48" s="8">
        <f t="shared" si="83"/>
        <v>23.662905857001963</v>
      </c>
      <c r="X48" s="8">
        <f t="shared" si="84"/>
        <v>22.505635647504082</v>
      </c>
      <c r="Y48" s="1">
        <v>30</v>
      </c>
      <c r="Z48" s="8">
        <f t="shared" si="85"/>
        <v>23.277878317832414</v>
      </c>
      <c r="AA48" s="8">
        <f t="shared" si="86"/>
        <v>24.73808956765595</v>
      </c>
      <c r="AB48" s="1">
        <v>30</v>
      </c>
      <c r="AC48" s="8">
        <f t="shared" si="87"/>
        <v>22.863679100304157</v>
      </c>
      <c r="AD48" s="8">
        <f t="shared" si="88"/>
        <v>26.970543487807824</v>
      </c>
      <c r="AE48" s="1">
        <v>37</v>
      </c>
      <c r="AF48" s="6">
        <v>2</v>
      </c>
    </row>
    <row r="49" spans="1:32" ht="45" customHeight="1">
      <c r="A49" s="184"/>
      <c r="B49" s="7"/>
      <c r="C49" s="7">
        <v>4200</v>
      </c>
      <c r="D49" s="5">
        <f t="shared" si="70"/>
        <v>29.426941796559856</v>
      </c>
      <c r="E49" s="8">
        <f t="shared" si="71"/>
        <v>27.918373756957017</v>
      </c>
      <c r="F49" s="8">
        <f t="shared" si="72"/>
        <v>10.317763218244291</v>
      </c>
      <c r="G49" s="44">
        <v>15</v>
      </c>
      <c r="H49" s="8">
        <f t="shared" si="73"/>
        <v>27.52779394279784</v>
      </c>
      <c r="I49" s="8">
        <f t="shared" si="74"/>
        <v>12.72194436302323</v>
      </c>
      <c r="J49" s="1">
        <v>15</v>
      </c>
      <c r="K49" s="8">
        <f t="shared" si="75"/>
        <v>27.16921023310378</v>
      </c>
      <c r="L49" s="8">
        <f t="shared" si="76"/>
        <v>15.126125507802172</v>
      </c>
      <c r="M49" s="1">
        <v>18.5</v>
      </c>
      <c r="N49" s="8">
        <f t="shared" si="77"/>
        <v>26.82346631996675</v>
      </c>
      <c r="O49" s="8">
        <f t="shared" si="78"/>
        <v>17.53030665258111</v>
      </c>
      <c r="P49" s="1">
        <v>22</v>
      </c>
      <c r="Q49" s="8">
        <f t="shared" si="79"/>
        <v>26.479430600654684</v>
      </c>
      <c r="R49" s="8">
        <f t="shared" si="80"/>
        <v>19.93448779736005</v>
      </c>
      <c r="S49" s="1">
        <v>30</v>
      </c>
      <c r="T49" s="8">
        <f t="shared" si="81"/>
        <v>26.128943840338724</v>
      </c>
      <c r="U49" s="8">
        <f t="shared" si="82"/>
        <v>22.33866894213899</v>
      </c>
      <c r="V49" s="1">
        <v>30</v>
      </c>
      <c r="W49" s="8">
        <f t="shared" si="83"/>
        <v>25.764830271041955</v>
      </c>
      <c r="X49" s="8">
        <f t="shared" si="84"/>
        <v>24.742850086917933</v>
      </c>
      <c r="Y49" s="1">
        <v>30</v>
      </c>
      <c r="Z49" s="8">
        <f t="shared" si="85"/>
        <v>25.379802731872406</v>
      </c>
      <c r="AA49" s="8">
        <f t="shared" si="86"/>
        <v>27.147031231696868</v>
      </c>
      <c r="AB49" s="1">
        <v>37</v>
      </c>
      <c r="AC49" s="8">
        <f t="shared" si="87"/>
        <v>24.965603514344153</v>
      </c>
      <c r="AD49" s="8">
        <f t="shared" si="88"/>
        <v>29.55121237647581</v>
      </c>
      <c r="AE49" s="1">
        <v>37</v>
      </c>
      <c r="AF49" s="6">
        <v>2</v>
      </c>
    </row>
    <row r="50" spans="1:32" ht="45" customHeight="1">
      <c r="A50" s="183" t="s">
        <v>45</v>
      </c>
      <c r="B50" s="2"/>
      <c r="C50" s="2">
        <v>2000</v>
      </c>
      <c r="D50" s="11">
        <f>PI()/2*0.526*POWER(0.171,2)*0.38*C50</f>
        <v>18.361638559429792</v>
      </c>
      <c r="E50" s="21">
        <f>(C50-625*SQRT(101.325/(101.325-9.8)-1))*D50/C50</f>
        <v>16.48403186513321</v>
      </c>
      <c r="F50" s="11">
        <f>D50*9.8/98*1.634*1+1.1*POWER(C50/2000,2.3)</f>
        <v>4.100291740610828</v>
      </c>
      <c r="G50" s="43">
        <v>5.5</v>
      </c>
      <c r="H50" s="21">
        <f>(C50-625*SQRT(101.325/(101.325-14.7)-1))*D50/C50</f>
        <v>15.99790511813182</v>
      </c>
      <c r="I50" s="21">
        <f>D50*14.7/98*1.634*1+1.1*POWER(C50/2000,2.3)</f>
        <v>5.6004376109162415</v>
      </c>
      <c r="J50" s="2">
        <v>7.5</v>
      </c>
      <c r="K50" s="21">
        <f>(C50-625*SQRT(101.325/(101.325-19.6)-1))*D50/C50</f>
        <v>15.551601632897887</v>
      </c>
      <c r="L50" s="21">
        <f>D50*19.6/98*1.634*1+1.1*POWER(C50/2000,2.3)</f>
        <v>7.100583481221657</v>
      </c>
      <c r="M50" s="2">
        <v>11</v>
      </c>
      <c r="N50" s="21">
        <f>(C50-625*SQRT(101.325/(101.325-24.5)-1))*D50/C50</f>
        <v>15.121278923695266</v>
      </c>
      <c r="O50" s="21">
        <f>D50*24.5/98*1.634*1+1.1*POWER(C50/2000,2.3)</f>
        <v>8.60072935152707</v>
      </c>
      <c r="P50" s="2">
        <v>11</v>
      </c>
      <c r="Q50" s="21">
        <f>(C50-625*SQRT(101.325/(101.325-29.4)-1))*D50/C50</f>
        <v>14.693082281117885</v>
      </c>
      <c r="R50" s="21">
        <f>D50*29.4/98*1.634*1+1.1*POWER(C50/2000,2.3)</f>
        <v>10.100875221832483</v>
      </c>
      <c r="S50" s="2">
        <v>15</v>
      </c>
      <c r="T50" s="21">
        <f>(C50-625*SQRT(101.325/(101.325-34.3)-1))*D50/C50</f>
        <v>14.256856489402965</v>
      </c>
      <c r="U50" s="21">
        <f>D50*34.3/98*1.634*1+1.1*POWER(C50/2000,2.3)</f>
        <v>11.601021092137897</v>
      </c>
      <c r="V50" s="2">
        <v>15</v>
      </c>
      <c r="W50" s="21">
        <f>(C50-625*SQRT(101.325/(101.325-39.2)-1))*D50/C50</f>
        <v>13.803670383607022</v>
      </c>
      <c r="X50" s="21">
        <f>D50*39.2/98*1.634*1+1.1*POWER(C50/2000,2.3)</f>
        <v>13.101166962443312</v>
      </c>
      <c r="Y50" s="2">
        <v>18.5</v>
      </c>
      <c r="Z50" s="21">
        <f>(C50-625*SQRT(101.325/(101.325-44.1)-1))*D50/C50</f>
        <v>13.324454155995827</v>
      </c>
      <c r="AA50" s="21">
        <f>D50*44.1/98*1.634*1+1.1*POWER(C50/2000,2.3)</f>
        <v>14.601312832748727</v>
      </c>
      <c r="AB50" s="2">
        <v>18.5</v>
      </c>
      <c r="AC50" s="21">
        <f>(C50-625*SQRT(101.325/(101.325-49)-1))*D50/C50</f>
        <v>12.808930027691877</v>
      </c>
      <c r="AD50" s="21">
        <f>D50*49/98*1.634*1+1.1*POWER(C50/2000,2.3)</f>
        <v>16.10145870305414</v>
      </c>
      <c r="AE50" s="2">
        <v>18.5</v>
      </c>
      <c r="AF50" s="9">
        <v>2</v>
      </c>
    </row>
    <row r="51" spans="1:32" ht="45" customHeight="1">
      <c r="A51" s="173"/>
      <c r="B51" s="1"/>
      <c r="C51" s="1">
        <v>2400</v>
      </c>
      <c r="D51" s="5">
        <f aca="true" t="shared" si="89" ref="D51:D56">PI()/2*0.526*POWER(0.171,2)*0.38*C51</f>
        <v>22.03396627131575</v>
      </c>
      <c r="E51" s="8">
        <f aca="true" t="shared" si="90" ref="E51:E56">(C51-625*SQRT(101.325/(101.325-9.8)-1))*D51/C51</f>
        <v>20.15635957701917</v>
      </c>
      <c r="F51" s="5">
        <f aca="true" t="shared" si="91" ref="F51:F56">D51*9.8/98*1.634*1+1.1*POWER(C51/2000,2.3)</f>
        <v>5.273402518740778</v>
      </c>
      <c r="G51" s="44">
        <v>7.5</v>
      </c>
      <c r="H51" s="8">
        <f aca="true" t="shared" si="92" ref="H51:H56">(C51-625*SQRT(101.325/(101.325-14.7)-1))*D51/C51</f>
        <v>19.67023283001778</v>
      </c>
      <c r="I51" s="8">
        <f aca="true" t="shared" si="93" ref="I51:I56">D51*14.7/98*1.634*1+1.1*POWER(C51/2000,2.3)</f>
        <v>7.073577563107276</v>
      </c>
      <c r="J51" s="1">
        <v>11</v>
      </c>
      <c r="K51" s="8">
        <f aca="true" t="shared" si="94" ref="K51:K56">(C51-625*SQRT(101.325/(101.325-19.6)-1))*D51/C51</f>
        <v>19.223929344783848</v>
      </c>
      <c r="L51" s="8">
        <f aca="true" t="shared" si="95" ref="L51:L56">D51*19.6/98*1.634*1+1.1*POWER(C51/2000,2.3)</f>
        <v>8.873752607473772</v>
      </c>
      <c r="M51" s="1">
        <v>11</v>
      </c>
      <c r="N51" s="8">
        <f aca="true" t="shared" si="96" ref="N51:N56">(C51-625*SQRT(101.325/(101.325-24.5)-1))*D51/C51</f>
        <v>18.793606635581227</v>
      </c>
      <c r="O51" s="8">
        <f aca="true" t="shared" si="97" ref="O51:O56">D51*24.5/98*1.634*1+1.1*POWER(C51/2000,2.3)</f>
        <v>10.673927651840268</v>
      </c>
      <c r="P51" s="1">
        <v>15</v>
      </c>
      <c r="Q51" s="8">
        <f aca="true" t="shared" si="98" ref="Q51:Q56">(C51-625*SQRT(101.325/(101.325-29.4)-1))*D51/C51</f>
        <v>18.365409993003844</v>
      </c>
      <c r="R51" s="8">
        <f aca="true" t="shared" si="99" ref="R51:R56">D51*29.4/98*1.634*1+1.1*POWER(C51/2000,2.3)</f>
        <v>12.474102696206765</v>
      </c>
      <c r="S51" s="1">
        <v>15</v>
      </c>
      <c r="T51" s="8">
        <f aca="true" t="shared" si="100" ref="T51:T56">(C51-625*SQRT(101.325/(101.325-34.3)-1))*D51/C51</f>
        <v>17.929184201288923</v>
      </c>
      <c r="U51" s="8">
        <f aca="true" t="shared" si="101" ref="U51:U56">D51*34.3/98*1.634*1+1.1*POWER(C51/2000,2.3)</f>
        <v>14.27427774057326</v>
      </c>
      <c r="V51" s="1">
        <v>18.5</v>
      </c>
      <c r="W51" s="8">
        <f aca="true" t="shared" si="102" ref="W51:W56">(C51-625*SQRT(101.325/(101.325-39.2)-1))*D51/C51</f>
        <v>17.47599809549298</v>
      </c>
      <c r="X51" s="8">
        <f aca="true" t="shared" si="103" ref="X51:X56">D51*39.2/98*1.634*1+1.1*POWER(C51/2000,2.3)</f>
        <v>16.07445278493976</v>
      </c>
      <c r="Y51" s="1">
        <v>18.5</v>
      </c>
      <c r="Z51" s="8">
        <f aca="true" t="shared" si="104" ref="Z51:Z56">(C51-625*SQRT(101.325/(101.325-44.1)-1))*D51/C51</f>
        <v>16.996781867881786</v>
      </c>
      <c r="AA51" s="8">
        <f aca="true" t="shared" si="105" ref="AA51:AA56">D51*44.1/98*1.634*1+1.1*POWER(C51/2000,2.3)</f>
        <v>17.874627829306256</v>
      </c>
      <c r="AB51" s="1">
        <v>22</v>
      </c>
      <c r="AC51" s="8">
        <f aca="true" t="shared" si="106" ref="AC51:AC56">(C51-625*SQRT(101.325/(101.325-49)-1))*D51/C51</f>
        <v>16.481257739577835</v>
      </c>
      <c r="AD51" s="8">
        <f aca="true" t="shared" si="107" ref="AD51:AD56">D51*49/98*1.634*1+1.1*POWER(C51/2000,2.3)</f>
        <v>19.674802873672753</v>
      </c>
      <c r="AE51" s="1">
        <v>30</v>
      </c>
      <c r="AF51" s="6">
        <v>2</v>
      </c>
    </row>
    <row r="52" spans="1:32" ht="45" customHeight="1">
      <c r="A52" s="173"/>
      <c r="B52" s="1"/>
      <c r="C52" s="1">
        <v>2750</v>
      </c>
      <c r="D52" s="5">
        <f t="shared" si="89"/>
        <v>25.247253019215968</v>
      </c>
      <c r="E52" s="8">
        <f t="shared" si="90"/>
        <v>23.369646324919387</v>
      </c>
      <c r="F52" s="5">
        <f t="shared" si="91"/>
        <v>6.413574323715947</v>
      </c>
      <c r="G52" s="44">
        <v>7.5</v>
      </c>
      <c r="H52" s="8">
        <f t="shared" si="92"/>
        <v>22.883519577917998</v>
      </c>
      <c r="I52" s="8">
        <f t="shared" si="93"/>
        <v>8.47627489538589</v>
      </c>
      <c r="J52" s="1">
        <v>11</v>
      </c>
      <c r="K52" s="8">
        <f t="shared" si="94"/>
        <v>22.437216092684064</v>
      </c>
      <c r="L52" s="8">
        <f t="shared" si="95"/>
        <v>10.538975467055836</v>
      </c>
      <c r="M52" s="1">
        <v>15</v>
      </c>
      <c r="N52" s="8">
        <f t="shared" si="96"/>
        <v>22.00689338348144</v>
      </c>
      <c r="O52" s="8">
        <f t="shared" si="97"/>
        <v>12.60167603872578</v>
      </c>
      <c r="P52" s="1">
        <v>15</v>
      </c>
      <c r="Q52" s="8">
        <f t="shared" si="98"/>
        <v>21.57869674090406</v>
      </c>
      <c r="R52" s="8">
        <f t="shared" si="99"/>
        <v>14.664376610395724</v>
      </c>
      <c r="S52" s="1">
        <v>18.5</v>
      </c>
      <c r="T52" s="8">
        <f t="shared" si="100"/>
        <v>21.14247094918914</v>
      </c>
      <c r="U52" s="8">
        <f t="shared" si="101"/>
        <v>16.727077182065667</v>
      </c>
      <c r="V52" s="1">
        <v>22</v>
      </c>
      <c r="W52" s="8">
        <f t="shared" si="102"/>
        <v>20.689284843393196</v>
      </c>
      <c r="X52" s="8">
        <f t="shared" si="103"/>
        <v>18.789777753735613</v>
      </c>
      <c r="Y52" s="1">
        <v>22</v>
      </c>
      <c r="Z52" s="8">
        <f t="shared" si="104"/>
        <v>20.210068615782003</v>
      </c>
      <c r="AA52" s="8">
        <f t="shared" si="105"/>
        <v>20.852478325405556</v>
      </c>
      <c r="AB52" s="1">
        <v>30</v>
      </c>
      <c r="AC52" s="8">
        <f t="shared" si="106"/>
        <v>19.69454448747805</v>
      </c>
      <c r="AD52" s="8">
        <f t="shared" si="107"/>
        <v>22.9151788970755</v>
      </c>
      <c r="AE52" s="1">
        <v>30</v>
      </c>
      <c r="AF52" s="6">
        <v>2</v>
      </c>
    </row>
    <row r="53" spans="1:32" ht="45" customHeight="1">
      <c r="A53" s="173"/>
      <c r="B53" s="1">
        <v>150</v>
      </c>
      <c r="C53" s="1">
        <v>3100</v>
      </c>
      <c r="D53" s="5">
        <f t="shared" si="89"/>
        <v>28.46053976711618</v>
      </c>
      <c r="E53" s="8">
        <f t="shared" si="90"/>
        <v>26.582933072819596</v>
      </c>
      <c r="F53" s="5">
        <f t="shared" si="91"/>
        <v>7.664537859279477</v>
      </c>
      <c r="G53" s="44">
        <v>11</v>
      </c>
      <c r="H53" s="8">
        <f t="shared" si="92"/>
        <v>26.09680632581821</v>
      </c>
      <c r="I53" s="8">
        <f t="shared" si="93"/>
        <v>9.989763958252867</v>
      </c>
      <c r="J53" s="1">
        <v>15</v>
      </c>
      <c r="K53" s="8">
        <f t="shared" si="94"/>
        <v>25.650502840584277</v>
      </c>
      <c r="L53" s="8">
        <f t="shared" si="95"/>
        <v>12.314990057226261</v>
      </c>
      <c r="M53" s="1">
        <v>15</v>
      </c>
      <c r="N53" s="8">
        <f t="shared" si="96"/>
        <v>25.220180131381653</v>
      </c>
      <c r="O53" s="8">
        <f t="shared" si="97"/>
        <v>14.64021615619965</v>
      </c>
      <c r="P53" s="1">
        <v>18.5</v>
      </c>
      <c r="Q53" s="8">
        <f t="shared" si="98"/>
        <v>24.791983488804277</v>
      </c>
      <c r="R53" s="8">
        <f t="shared" si="99"/>
        <v>16.96544225517304</v>
      </c>
      <c r="S53" s="1">
        <v>22</v>
      </c>
      <c r="T53" s="8">
        <f t="shared" si="100"/>
        <v>24.355757697089356</v>
      </c>
      <c r="U53" s="8">
        <f t="shared" si="101"/>
        <v>19.290668354146437</v>
      </c>
      <c r="V53" s="1">
        <v>22</v>
      </c>
      <c r="W53" s="8">
        <f t="shared" si="102"/>
        <v>23.90257159129341</v>
      </c>
      <c r="X53" s="8">
        <f t="shared" si="103"/>
        <v>21.615894453119832</v>
      </c>
      <c r="Y53" s="1">
        <v>30</v>
      </c>
      <c r="Z53" s="8">
        <f t="shared" si="104"/>
        <v>23.423355363682216</v>
      </c>
      <c r="AA53" s="8">
        <f t="shared" si="105"/>
        <v>23.94112055209322</v>
      </c>
      <c r="AB53" s="1">
        <v>30</v>
      </c>
      <c r="AC53" s="8">
        <f t="shared" si="106"/>
        <v>22.90783123537826</v>
      </c>
      <c r="AD53" s="8">
        <f t="shared" si="107"/>
        <v>26.26634665106661</v>
      </c>
      <c r="AE53" s="1">
        <v>30</v>
      </c>
      <c r="AF53" s="6">
        <v>2</v>
      </c>
    </row>
    <row r="54" spans="1:32" ht="45" customHeight="1">
      <c r="A54" s="173"/>
      <c r="B54" s="1"/>
      <c r="C54" s="1">
        <v>3500</v>
      </c>
      <c r="D54" s="5">
        <f t="shared" si="89"/>
        <v>32.13286747900214</v>
      </c>
      <c r="E54" s="8">
        <f t="shared" si="90"/>
        <v>30.255260784705555</v>
      </c>
      <c r="F54" s="5">
        <f t="shared" si="91"/>
        <v>9.235068952095435</v>
      </c>
      <c r="G54" s="44">
        <v>11</v>
      </c>
      <c r="H54" s="8">
        <f t="shared" si="92"/>
        <v>29.769134037704166</v>
      </c>
      <c r="I54" s="8">
        <f t="shared" si="93"/>
        <v>11.860324225129908</v>
      </c>
      <c r="J54" s="1">
        <v>15</v>
      </c>
      <c r="K54" s="8">
        <f t="shared" si="94"/>
        <v>29.322830552470233</v>
      </c>
      <c r="L54" s="8">
        <f t="shared" si="95"/>
        <v>14.485579498164384</v>
      </c>
      <c r="M54" s="1">
        <v>18.5</v>
      </c>
      <c r="N54" s="8">
        <f t="shared" si="96"/>
        <v>28.89250784326761</v>
      </c>
      <c r="O54" s="8">
        <f t="shared" si="97"/>
        <v>17.110834771198856</v>
      </c>
      <c r="P54" s="1">
        <v>22</v>
      </c>
      <c r="Q54" s="8">
        <f t="shared" si="98"/>
        <v>28.464311200690233</v>
      </c>
      <c r="R54" s="8">
        <f t="shared" si="99"/>
        <v>19.73609004423333</v>
      </c>
      <c r="S54" s="1">
        <v>30</v>
      </c>
      <c r="T54" s="8">
        <f t="shared" si="100"/>
        <v>28.028085408975308</v>
      </c>
      <c r="U54" s="8">
        <f t="shared" si="101"/>
        <v>22.361345317267805</v>
      </c>
      <c r="V54" s="1">
        <v>30</v>
      </c>
      <c r="W54" s="8">
        <f t="shared" si="102"/>
        <v>27.574899303179365</v>
      </c>
      <c r="X54" s="8">
        <f t="shared" si="103"/>
        <v>24.98660059030228</v>
      </c>
      <c r="Y54" s="1">
        <v>30</v>
      </c>
      <c r="Z54" s="8">
        <f t="shared" si="104"/>
        <v>27.09568307556817</v>
      </c>
      <c r="AA54" s="8">
        <f t="shared" si="105"/>
        <v>27.611855863336757</v>
      </c>
      <c r="AB54" s="1">
        <v>37</v>
      </c>
      <c r="AC54" s="8">
        <f t="shared" si="106"/>
        <v>26.58015894726422</v>
      </c>
      <c r="AD54" s="8">
        <f t="shared" si="107"/>
        <v>30.237111136371226</v>
      </c>
      <c r="AE54" s="1">
        <v>37</v>
      </c>
      <c r="AF54" s="6">
        <v>2</v>
      </c>
    </row>
    <row r="55" spans="1:32" ht="45" customHeight="1">
      <c r="A55" s="173"/>
      <c r="B55" s="1"/>
      <c r="C55" s="1">
        <v>3900</v>
      </c>
      <c r="D55" s="5">
        <f t="shared" si="89"/>
        <v>35.8051951908881</v>
      </c>
      <c r="E55" s="8">
        <f t="shared" si="90"/>
        <v>33.92758849659152</v>
      </c>
      <c r="F55" s="8">
        <f t="shared" si="91"/>
        <v>10.961173609109125</v>
      </c>
      <c r="G55" s="44">
        <v>15</v>
      </c>
      <c r="H55" s="8">
        <f t="shared" si="92"/>
        <v>33.441461749590125</v>
      </c>
      <c r="I55" s="8">
        <f t="shared" si="93"/>
        <v>13.886458056204681</v>
      </c>
      <c r="J55" s="1">
        <v>18.5</v>
      </c>
      <c r="K55" s="8">
        <f t="shared" si="94"/>
        <v>32.99515826435619</v>
      </c>
      <c r="L55" s="8">
        <f t="shared" si="95"/>
        <v>16.811742503300238</v>
      </c>
      <c r="M55" s="1">
        <v>22</v>
      </c>
      <c r="N55" s="8">
        <f t="shared" si="96"/>
        <v>32.56483555515357</v>
      </c>
      <c r="O55" s="8">
        <f t="shared" si="97"/>
        <v>19.737026950395794</v>
      </c>
      <c r="P55" s="1">
        <v>30</v>
      </c>
      <c r="Q55" s="8">
        <f t="shared" si="98"/>
        <v>32.136638912576196</v>
      </c>
      <c r="R55" s="8">
        <f t="shared" si="99"/>
        <v>22.662311397491354</v>
      </c>
      <c r="S55" s="1">
        <v>30</v>
      </c>
      <c r="T55" s="8">
        <f t="shared" si="100"/>
        <v>31.700413120861274</v>
      </c>
      <c r="U55" s="8">
        <f t="shared" si="101"/>
        <v>25.58759584458691</v>
      </c>
      <c r="V55" s="1">
        <v>30</v>
      </c>
      <c r="W55" s="8">
        <f t="shared" si="102"/>
        <v>31.247227015065327</v>
      </c>
      <c r="X55" s="8">
        <f t="shared" si="103"/>
        <v>28.51288029168247</v>
      </c>
      <c r="Y55" s="1">
        <v>37</v>
      </c>
      <c r="Z55" s="8">
        <f t="shared" si="104"/>
        <v>30.76801078745413</v>
      </c>
      <c r="AA55" s="8">
        <f t="shared" si="105"/>
        <v>31.438164738778024</v>
      </c>
      <c r="AB55" s="1">
        <v>37</v>
      </c>
      <c r="AC55" s="8">
        <f t="shared" si="106"/>
        <v>30.252486659150183</v>
      </c>
      <c r="AD55" s="8">
        <f t="shared" si="107"/>
        <v>34.363449185873584</v>
      </c>
      <c r="AE55" s="1">
        <v>45</v>
      </c>
      <c r="AF55" s="6">
        <v>2</v>
      </c>
    </row>
    <row r="56" spans="1:32" ht="45" customHeight="1">
      <c r="A56" s="184"/>
      <c r="B56" s="7"/>
      <c r="C56" s="7">
        <v>4200</v>
      </c>
      <c r="D56" s="12">
        <f t="shared" si="89"/>
        <v>38.55944097480257</v>
      </c>
      <c r="E56" s="20">
        <f t="shared" si="90"/>
        <v>36.68183428050599</v>
      </c>
      <c r="F56" s="20">
        <f t="shared" si="91"/>
        <v>12.360953676837791</v>
      </c>
      <c r="G56" s="46">
        <v>18.5</v>
      </c>
      <c r="H56" s="20">
        <f t="shared" si="92"/>
        <v>36.195707533504596</v>
      </c>
      <c r="I56" s="20">
        <f t="shared" si="93"/>
        <v>15.51126000447916</v>
      </c>
      <c r="J56" s="7">
        <v>18.5</v>
      </c>
      <c r="K56" s="20">
        <f t="shared" si="94"/>
        <v>35.74940404827066</v>
      </c>
      <c r="L56" s="20">
        <f t="shared" si="95"/>
        <v>18.661566332120533</v>
      </c>
      <c r="M56" s="7">
        <v>22</v>
      </c>
      <c r="N56" s="20">
        <f t="shared" si="96"/>
        <v>35.31908133906804</v>
      </c>
      <c r="O56" s="20">
        <f t="shared" si="97"/>
        <v>21.811872659761903</v>
      </c>
      <c r="P56" s="7">
        <v>30</v>
      </c>
      <c r="Q56" s="20">
        <f t="shared" si="98"/>
        <v>34.890884696490666</v>
      </c>
      <c r="R56" s="20">
        <f t="shared" si="99"/>
        <v>24.96217898740327</v>
      </c>
      <c r="S56" s="7">
        <v>30</v>
      </c>
      <c r="T56" s="20">
        <f t="shared" si="100"/>
        <v>34.45465890477574</v>
      </c>
      <c r="U56" s="20">
        <f t="shared" si="101"/>
        <v>28.112485315044637</v>
      </c>
      <c r="V56" s="7">
        <v>37</v>
      </c>
      <c r="W56" s="20">
        <f t="shared" si="102"/>
        <v>34.0014727989798</v>
      </c>
      <c r="X56" s="20">
        <f t="shared" si="103"/>
        <v>31.26279164268601</v>
      </c>
      <c r="Y56" s="7">
        <v>37</v>
      </c>
      <c r="Z56" s="20">
        <f t="shared" si="104"/>
        <v>33.52225657136861</v>
      </c>
      <c r="AA56" s="20">
        <f t="shared" si="105"/>
        <v>34.413097970327385</v>
      </c>
      <c r="AB56" s="7">
        <v>45</v>
      </c>
      <c r="AC56" s="20">
        <f t="shared" si="106"/>
        <v>33.00673244306465</v>
      </c>
      <c r="AD56" s="20">
        <f t="shared" si="107"/>
        <v>37.56340429796875</v>
      </c>
      <c r="AE56" s="7">
        <v>45</v>
      </c>
      <c r="AF56" s="13">
        <v>2</v>
      </c>
    </row>
    <row r="57" spans="1:32" ht="45" customHeight="1">
      <c r="A57" s="183" t="s">
        <v>46</v>
      </c>
      <c r="B57" s="2"/>
      <c r="C57" s="2">
        <v>1480</v>
      </c>
      <c r="D57" s="11">
        <f>PI()/2*0.526*POWER(0.252,2)*0.29*C57</f>
        <v>22.519897840248206</v>
      </c>
      <c r="E57" s="21">
        <f>(C57-460*SQRT(101.325/(101.325-9.8)-1))*D57/C57</f>
        <v>20.229527550852964</v>
      </c>
      <c r="F57" s="11">
        <f>D57*9.8/98*1.634*1+1.5*POWER(C57/1500,2.36)</f>
        <v>5.132978567581406</v>
      </c>
      <c r="G57" s="43">
        <v>7.5</v>
      </c>
      <c r="H57" s="21">
        <f>(C57-460*SQRT(101.325/(101.325-14.7)-1))*D57/C57</f>
        <v>19.63653314920621</v>
      </c>
      <c r="I57" s="11">
        <f>D57*14.7/98*1.634*1+1.5*POWER(C57/1500,2.36)</f>
        <v>6.972854221129684</v>
      </c>
      <c r="J57" s="2">
        <v>11</v>
      </c>
      <c r="K57" s="21">
        <f>(C57-460*SQRT(101.325/(101.325-19.6)-1))*D57/C57</f>
        <v>19.092116554538975</v>
      </c>
      <c r="L57" s="11">
        <f>D57*19.6/98*1.634*1+1.5*POWER(C57/1500,2.36)</f>
        <v>8.812729874677963</v>
      </c>
      <c r="M57" s="2">
        <v>11</v>
      </c>
      <c r="N57" s="21">
        <f>(C57-460*SQRT(101.325/(101.325-24.5)-1))*D57/C57</f>
        <v>18.567193869184475</v>
      </c>
      <c r="O57" s="21">
        <f>D57*24.5/98*1.634*1+1.5*POWER(C57/1500,2.36)</f>
        <v>10.65260552822624</v>
      </c>
      <c r="P57" s="2">
        <v>15</v>
      </c>
      <c r="Q57" s="21">
        <f>(C57-460*SQRT(101.325/(101.325-29.4)-1))*D57/C57</f>
        <v>18.044864634229626</v>
      </c>
      <c r="R57" s="21">
        <f>D57*29.4/98*1.634*1+1.5*POWER(C57/1500,2.36)</f>
        <v>12.492481181774519</v>
      </c>
      <c r="S57" s="2">
        <v>15</v>
      </c>
      <c r="T57" s="21">
        <f>(C57-460*SQRT(101.325/(101.325-34.3)-1))*D57/C57</f>
        <v>17.512741162446805</v>
      </c>
      <c r="U57" s="21">
        <f>D57*34.3/98*1.634*1+1.5*POWER(C57/1500,2.36)</f>
        <v>14.332356835322795</v>
      </c>
      <c r="V57" s="2">
        <v>18.5</v>
      </c>
      <c r="W57" s="21">
        <f>(C57-460*SQRT(101.325/(101.325-39.2)-1))*D57/C57</f>
        <v>16.959928906592225</v>
      </c>
      <c r="X57" s="21">
        <f>D57*39.2/98*1.634*1+1.5*POWER(C57/1500,2.36)</f>
        <v>16.172232488871074</v>
      </c>
      <c r="Y57" s="2">
        <v>18.5</v>
      </c>
      <c r="Z57" s="21">
        <f>(C57-460*SQRT(101.325/(101.325-44.1)-1))*D57/C57</f>
        <v>16.37536419809882</v>
      </c>
      <c r="AA57" s="21">
        <f>D57*44.1/98*1.634*1+1.5*POWER(C57/1500,2.36)</f>
        <v>18.012108142419354</v>
      </c>
      <c r="AB57" s="2">
        <v>22</v>
      </c>
      <c r="AC57" s="21">
        <f>(C57-460*SQRT(101.325/(101.325-49)-1))*D57/C57</f>
        <v>15.746509842966631</v>
      </c>
      <c r="AD57" s="21">
        <f>D57*49/98*1.634*1+1.5*POWER(C57/1500,2.36)</f>
        <v>19.85198379596763</v>
      </c>
      <c r="AE57" s="2">
        <v>30</v>
      </c>
      <c r="AF57" s="9">
        <v>2</v>
      </c>
    </row>
    <row r="58" spans="1:32" ht="45" customHeight="1">
      <c r="A58" s="173"/>
      <c r="B58" s="1"/>
      <c r="C58" s="1">
        <v>1680</v>
      </c>
      <c r="D58" s="5">
        <f aca="true" t="shared" si="108" ref="D58:D63">PI()/2*0.526*POWER(0.252,2)*0.29*C58</f>
        <v>25.563127278119584</v>
      </c>
      <c r="E58" s="8">
        <f aca="true" t="shared" si="109" ref="E58:E63">(C58-460*SQRT(101.325/(101.325-9.8)-1))*D58/C58</f>
        <v>23.272756988724343</v>
      </c>
      <c r="F58" s="5">
        <f aca="true" t="shared" si="110" ref="F58:F63">D58*9.8/98*1.634*1+1.5*POWER(C58/1500,2.36)</f>
        <v>6.13696860888662</v>
      </c>
      <c r="G58" s="44">
        <v>7.5</v>
      </c>
      <c r="H58" s="8">
        <f aca="true" t="shared" si="111" ref="H58:H63">(C58-460*SQRT(101.325/(101.325-14.7)-1))*D58/C58</f>
        <v>22.679762587077583</v>
      </c>
      <c r="I58" s="5">
        <f aca="true" t="shared" si="112" ref="I58:I63">D58*14.7/98*1.634*1+1.5*POWER(C58/1500,2.36)</f>
        <v>8.225476107508989</v>
      </c>
      <c r="J58" s="1">
        <v>11</v>
      </c>
      <c r="K58" s="8">
        <f aca="true" t="shared" si="113" ref="K58:K63">(C58-460*SQRT(101.325/(101.325-19.6)-1))*D58/C58</f>
        <v>22.135345992410354</v>
      </c>
      <c r="L58" s="8">
        <f aca="true" t="shared" si="114" ref="L58:L63">D58*19.6/98*1.634*1+1.5*POWER(C58/1500,2.36)</f>
        <v>10.31398360613136</v>
      </c>
      <c r="M58" s="1">
        <v>15</v>
      </c>
      <c r="N58" s="8">
        <f aca="true" t="shared" si="115" ref="N58:N63">(C58-460*SQRT(101.325/(101.325-24.5)-1))*D58/C58</f>
        <v>21.610423307055854</v>
      </c>
      <c r="O58" s="8">
        <f aca="true" t="shared" si="116" ref="O58:O63">D58*24.5/98*1.634*1+1.5*POWER(C58/1500,2.36)</f>
        <v>12.402491104753729</v>
      </c>
      <c r="P58" s="1">
        <v>15</v>
      </c>
      <c r="Q58" s="8">
        <f aca="true" t="shared" si="117" ref="Q58:Q63">(C58-460*SQRT(101.325/(101.325-29.4)-1))*D58/C58</f>
        <v>21.088094072101008</v>
      </c>
      <c r="R58" s="8">
        <f aca="true" t="shared" si="118" ref="R58:R63">D58*29.4/98*1.634*1+1.5*POWER(C58/1500,2.36)</f>
        <v>14.490998603376099</v>
      </c>
      <c r="S58" s="1">
        <v>18.5</v>
      </c>
      <c r="T58" s="8">
        <f aca="true" t="shared" si="119" ref="T58:T63">(C58-460*SQRT(101.325/(101.325-34.3)-1))*D58/C58</f>
        <v>20.55597060031818</v>
      </c>
      <c r="U58" s="8">
        <f aca="true" t="shared" si="120" ref="U58:U63">D58*34.3/98*1.634*1+1.5*POWER(C58/1500,2.36)</f>
        <v>16.57950610199847</v>
      </c>
      <c r="V58" s="1">
        <v>22</v>
      </c>
      <c r="W58" s="8">
        <f aca="true" t="shared" si="121" ref="W58:W63">(C58-460*SQRT(101.325/(101.325-39.2)-1))*D58/C58</f>
        <v>20.003158344463603</v>
      </c>
      <c r="X58" s="8">
        <f aca="true" t="shared" si="122" ref="X58:X63">D58*39.2/98*1.634*1+1.5*POWER(C58/1500,2.36)</f>
        <v>18.668013600620842</v>
      </c>
      <c r="Y58" s="1">
        <v>22</v>
      </c>
      <c r="Z58" s="8">
        <f aca="true" t="shared" si="123" ref="Z58:Z63">(C58-460*SQRT(101.325/(101.325-44.1)-1))*D58/C58</f>
        <v>19.418593635970197</v>
      </c>
      <c r="AA58" s="8">
        <f aca="true" t="shared" si="124" ref="AA58:AA63">D58*44.1/98*1.634*1+1.5*POWER(C58/1500,2.36)</f>
        <v>20.75652109924321</v>
      </c>
      <c r="AB58" s="1">
        <v>30</v>
      </c>
      <c r="AC58" s="8">
        <f aca="true" t="shared" si="125" ref="AC58:AC63">(C58-460*SQRT(101.325/(101.325-49)-1))*D58/C58</f>
        <v>18.78973928083801</v>
      </c>
      <c r="AD58" s="8">
        <f aca="true" t="shared" si="126" ref="AD58:AD63">D58*49/98*1.634*1+1.5*POWER(C58/1500,2.36)</f>
        <v>22.84502859786558</v>
      </c>
      <c r="AE58" s="1">
        <v>30</v>
      </c>
      <c r="AF58" s="6">
        <v>2</v>
      </c>
    </row>
    <row r="59" spans="1:32" ht="45" customHeight="1">
      <c r="A59" s="173"/>
      <c r="B59" s="1"/>
      <c r="C59" s="1">
        <v>1880</v>
      </c>
      <c r="D59" s="5">
        <f t="shared" si="108"/>
        <v>28.606356715990962</v>
      </c>
      <c r="E59" s="8">
        <f t="shared" si="109"/>
        <v>26.31598642659572</v>
      </c>
      <c r="F59" s="5">
        <f t="shared" si="110"/>
        <v>7.230087786382256</v>
      </c>
      <c r="G59" s="44">
        <v>11</v>
      </c>
      <c r="H59" s="8">
        <f t="shared" si="111"/>
        <v>25.722992024948965</v>
      </c>
      <c r="I59" s="5">
        <f t="shared" si="112"/>
        <v>9.567227130078717</v>
      </c>
      <c r="J59" s="1">
        <v>11</v>
      </c>
      <c r="K59" s="8">
        <f t="shared" si="113"/>
        <v>25.17857543028173</v>
      </c>
      <c r="L59" s="8">
        <f t="shared" si="114"/>
        <v>11.90436647377518</v>
      </c>
      <c r="M59" s="1">
        <v>15</v>
      </c>
      <c r="N59" s="8">
        <f t="shared" si="115"/>
        <v>24.653652744927232</v>
      </c>
      <c r="O59" s="8">
        <f t="shared" si="116"/>
        <v>14.24150581747164</v>
      </c>
      <c r="P59" s="1">
        <v>18.5</v>
      </c>
      <c r="Q59" s="8">
        <f t="shared" si="117"/>
        <v>24.131323509972386</v>
      </c>
      <c r="R59" s="8">
        <f t="shared" si="118"/>
        <v>16.5786451611681</v>
      </c>
      <c r="S59" s="1">
        <v>22</v>
      </c>
      <c r="T59" s="8">
        <f t="shared" si="119"/>
        <v>23.599200038189558</v>
      </c>
      <c r="U59" s="8">
        <f t="shared" si="120"/>
        <v>18.915784504864565</v>
      </c>
      <c r="V59" s="1">
        <v>22</v>
      </c>
      <c r="W59" s="8">
        <f t="shared" si="121"/>
        <v>23.04638778233498</v>
      </c>
      <c r="X59" s="8">
        <f t="shared" si="122"/>
        <v>21.252923848561025</v>
      </c>
      <c r="Y59" s="1">
        <v>30</v>
      </c>
      <c r="Z59" s="8">
        <f t="shared" si="123"/>
        <v>22.461823073841572</v>
      </c>
      <c r="AA59" s="8">
        <f t="shared" si="124"/>
        <v>23.590063192257485</v>
      </c>
      <c r="AB59" s="1">
        <v>30</v>
      </c>
      <c r="AC59" s="8">
        <f t="shared" si="125"/>
        <v>21.832968718709388</v>
      </c>
      <c r="AD59" s="8">
        <f t="shared" si="126"/>
        <v>25.927202535953946</v>
      </c>
      <c r="AE59" s="1">
        <v>30</v>
      </c>
      <c r="AF59" s="6">
        <v>2</v>
      </c>
    </row>
    <row r="60" spans="1:32" ht="45" customHeight="1">
      <c r="A60" s="173"/>
      <c r="B60" s="1">
        <v>150</v>
      </c>
      <c r="C60" s="1">
        <v>2120</v>
      </c>
      <c r="D60" s="5">
        <f t="shared" si="108"/>
        <v>32.25823204143662</v>
      </c>
      <c r="E60" s="8">
        <f t="shared" si="109"/>
        <v>29.96786175204138</v>
      </c>
      <c r="F60" s="5">
        <f t="shared" si="110"/>
        <v>8.664656599467573</v>
      </c>
      <c r="G60" s="44">
        <v>11</v>
      </c>
      <c r="H60" s="8">
        <f t="shared" si="111"/>
        <v>29.374867350394624</v>
      </c>
      <c r="I60" s="8">
        <f t="shared" si="112"/>
        <v>11.300154157252946</v>
      </c>
      <c r="J60" s="1">
        <v>15</v>
      </c>
      <c r="K60" s="8">
        <f t="shared" si="113"/>
        <v>28.830450755727387</v>
      </c>
      <c r="L60" s="8">
        <f t="shared" si="114"/>
        <v>13.935651715038318</v>
      </c>
      <c r="M60" s="1">
        <v>18.5</v>
      </c>
      <c r="N60" s="8">
        <f t="shared" si="115"/>
        <v>28.305528070372887</v>
      </c>
      <c r="O60" s="8">
        <f t="shared" si="116"/>
        <v>16.57114927282369</v>
      </c>
      <c r="P60" s="1">
        <v>22</v>
      </c>
      <c r="Q60" s="8">
        <f t="shared" si="117"/>
        <v>27.78319883541804</v>
      </c>
      <c r="R60" s="8">
        <f t="shared" si="118"/>
        <v>19.20664683060906</v>
      </c>
      <c r="S60" s="1">
        <v>22</v>
      </c>
      <c r="T60" s="8">
        <f t="shared" si="119"/>
        <v>27.251075363635216</v>
      </c>
      <c r="U60" s="8">
        <f t="shared" si="120"/>
        <v>21.842144388394434</v>
      </c>
      <c r="V60" s="1">
        <v>30</v>
      </c>
      <c r="W60" s="8">
        <f t="shared" si="121"/>
        <v>26.69826310778064</v>
      </c>
      <c r="X60" s="8">
        <f t="shared" si="122"/>
        <v>24.477641946179805</v>
      </c>
      <c r="Y60" s="1">
        <v>30</v>
      </c>
      <c r="Z60" s="8">
        <f t="shared" si="123"/>
        <v>26.113698399287234</v>
      </c>
      <c r="AA60" s="8">
        <f t="shared" si="124"/>
        <v>27.11313950396518</v>
      </c>
      <c r="AB60" s="1">
        <v>37</v>
      </c>
      <c r="AC60" s="8">
        <f t="shared" si="125"/>
        <v>25.484844044155043</v>
      </c>
      <c r="AD60" s="8">
        <f t="shared" si="126"/>
        <v>29.74863706175055</v>
      </c>
      <c r="AE60" s="1">
        <v>37</v>
      </c>
      <c r="AF60" s="6">
        <v>2</v>
      </c>
    </row>
    <row r="61" spans="1:32" ht="45" customHeight="1">
      <c r="A61" s="173"/>
      <c r="B61" s="1"/>
      <c r="C61" s="1">
        <v>2370</v>
      </c>
      <c r="D61" s="5">
        <f t="shared" si="108"/>
        <v>36.06226883877584</v>
      </c>
      <c r="E61" s="8">
        <f t="shared" si="109"/>
        <v>33.7718985493806</v>
      </c>
      <c r="F61" s="8">
        <f t="shared" si="110"/>
        <v>10.307486045324163</v>
      </c>
      <c r="G61" s="44">
        <v>15</v>
      </c>
      <c r="H61" s="8">
        <f t="shared" si="111"/>
        <v>33.178904147733846</v>
      </c>
      <c r="I61" s="8">
        <f t="shared" si="112"/>
        <v>13.253773409452148</v>
      </c>
      <c r="J61" s="1">
        <v>18.5</v>
      </c>
      <c r="K61" s="8">
        <f t="shared" si="113"/>
        <v>32.63448755306661</v>
      </c>
      <c r="L61" s="8">
        <f t="shared" si="114"/>
        <v>16.200060773580134</v>
      </c>
      <c r="M61" s="1">
        <v>18.5</v>
      </c>
      <c r="N61" s="8">
        <f t="shared" si="115"/>
        <v>32.10956486771211</v>
      </c>
      <c r="O61" s="8">
        <f t="shared" si="116"/>
        <v>19.146348137708124</v>
      </c>
      <c r="P61" s="1">
        <v>22</v>
      </c>
      <c r="Q61" s="8">
        <f t="shared" si="117"/>
        <v>31.587235632757263</v>
      </c>
      <c r="R61" s="8">
        <f t="shared" si="118"/>
        <v>22.092635501836106</v>
      </c>
      <c r="S61" s="1">
        <v>30</v>
      </c>
      <c r="T61" s="8">
        <f t="shared" si="119"/>
        <v>31.05511216097444</v>
      </c>
      <c r="U61" s="8">
        <f t="shared" si="120"/>
        <v>25.038922865964096</v>
      </c>
      <c r="V61" s="1">
        <v>30</v>
      </c>
      <c r="W61" s="8">
        <f t="shared" si="121"/>
        <v>30.502299905119862</v>
      </c>
      <c r="X61" s="8">
        <f t="shared" si="122"/>
        <v>27.98521023009208</v>
      </c>
      <c r="Y61" s="1">
        <v>37</v>
      </c>
      <c r="Z61" s="8">
        <f t="shared" si="123"/>
        <v>29.917735196626456</v>
      </c>
      <c r="AA61" s="8">
        <f t="shared" si="124"/>
        <v>30.93149759422007</v>
      </c>
      <c r="AB61" s="1">
        <v>37</v>
      </c>
      <c r="AC61" s="8">
        <f t="shared" si="125"/>
        <v>29.288880841494265</v>
      </c>
      <c r="AD61" s="8">
        <f t="shared" si="126"/>
        <v>33.87778495834805</v>
      </c>
      <c r="AE61" s="1">
        <v>45</v>
      </c>
      <c r="AF61" s="6">
        <v>2</v>
      </c>
    </row>
    <row r="62" spans="1:32" ht="45" customHeight="1">
      <c r="A62" s="173"/>
      <c r="B62" s="1"/>
      <c r="C62" s="1">
        <v>2650</v>
      </c>
      <c r="D62" s="5">
        <f t="shared" si="108"/>
        <v>40.32279005179577</v>
      </c>
      <c r="E62" s="8">
        <f t="shared" si="109"/>
        <v>38.03241976240053</v>
      </c>
      <c r="F62" s="8">
        <f t="shared" si="110"/>
        <v>12.334883195346176</v>
      </c>
      <c r="G62" s="44">
        <v>18.5</v>
      </c>
      <c r="H62" s="8">
        <f t="shared" si="111"/>
        <v>37.43942536075377</v>
      </c>
      <c r="I62" s="8">
        <f t="shared" si="112"/>
        <v>15.62925514257789</v>
      </c>
      <c r="J62" s="1">
        <v>18.5</v>
      </c>
      <c r="K62" s="8">
        <f t="shared" si="113"/>
        <v>36.89500876608654</v>
      </c>
      <c r="L62" s="8">
        <f t="shared" si="114"/>
        <v>18.923627089809607</v>
      </c>
      <c r="M62" s="1">
        <v>22</v>
      </c>
      <c r="N62" s="8">
        <f t="shared" si="115"/>
        <v>36.370086080732044</v>
      </c>
      <c r="O62" s="8">
        <f t="shared" si="116"/>
        <v>22.217999037041317</v>
      </c>
      <c r="P62" s="1">
        <v>30</v>
      </c>
      <c r="Q62" s="8">
        <f t="shared" si="117"/>
        <v>35.84775684577719</v>
      </c>
      <c r="R62" s="8">
        <f t="shared" si="118"/>
        <v>25.51237098427303</v>
      </c>
      <c r="S62" s="1">
        <v>30</v>
      </c>
      <c r="T62" s="8">
        <f t="shared" si="119"/>
        <v>35.31563337399437</v>
      </c>
      <c r="U62" s="8">
        <f t="shared" si="120"/>
        <v>28.806742931504743</v>
      </c>
      <c r="V62" s="1">
        <v>37</v>
      </c>
      <c r="W62" s="8">
        <f t="shared" si="121"/>
        <v>34.76282111813979</v>
      </c>
      <c r="X62" s="8">
        <f t="shared" si="122"/>
        <v>32.10111487873647</v>
      </c>
      <c r="Y62" s="1">
        <v>37</v>
      </c>
      <c r="Z62" s="8">
        <f t="shared" si="123"/>
        <v>34.17825640964638</v>
      </c>
      <c r="AA62" s="8">
        <f t="shared" si="124"/>
        <v>35.39548682596818</v>
      </c>
      <c r="AB62" s="1">
        <v>45</v>
      </c>
      <c r="AC62" s="8">
        <f t="shared" si="125"/>
        <v>33.54940205451419</v>
      </c>
      <c r="AD62" s="8">
        <f t="shared" si="126"/>
        <v>38.68985877319989</v>
      </c>
      <c r="AE62" s="1">
        <v>45</v>
      </c>
      <c r="AF62" s="6">
        <v>2</v>
      </c>
    </row>
    <row r="63" spans="1:32" ht="45" customHeight="1">
      <c r="A63" s="184"/>
      <c r="B63" s="7"/>
      <c r="C63" s="7">
        <v>2800</v>
      </c>
      <c r="D63" s="12">
        <f t="shared" si="108"/>
        <v>42.605212130199305</v>
      </c>
      <c r="E63" s="20">
        <f t="shared" si="109"/>
        <v>40.314841840804064</v>
      </c>
      <c r="F63" s="20">
        <f t="shared" si="110"/>
        <v>13.50517260093284</v>
      </c>
      <c r="G63" s="46">
        <v>18.5</v>
      </c>
      <c r="H63" s="20">
        <f t="shared" si="111"/>
        <v>39.721847439157315</v>
      </c>
      <c r="I63" s="20">
        <f t="shared" si="112"/>
        <v>16.986018431970123</v>
      </c>
      <c r="J63" s="7">
        <v>22</v>
      </c>
      <c r="K63" s="20">
        <f t="shared" si="113"/>
        <v>39.177430844490075</v>
      </c>
      <c r="L63" s="20">
        <f t="shared" si="114"/>
        <v>20.466864263007405</v>
      </c>
      <c r="M63" s="7">
        <v>30</v>
      </c>
      <c r="N63" s="20">
        <f t="shared" si="115"/>
        <v>38.65250815913558</v>
      </c>
      <c r="O63" s="20">
        <f t="shared" si="116"/>
        <v>23.947710094044687</v>
      </c>
      <c r="P63" s="7">
        <v>30</v>
      </c>
      <c r="Q63" s="20">
        <f t="shared" si="117"/>
        <v>38.130178924180726</v>
      </c>
      <c r="R63" s="20">
        <f t="shared" si="118"/>
        <v>27.428555925081973</v>
      </c>
      <c r="S63" s="7">
        <v>37</v>
      </c>
      <c r="T63" s="20">
        <f t="shared" si="119"/>
        <v>37.5980554523979</v>
      </c>
      <c r="U63" s="20">
        <f t="shared" si="120"/>
        <v>30.90940175611925</v>
      </c>
      <c r="V63" s="7">
        <v>37</v>
      </c>
      <c r="W63" s="20">
        <f t="shared" si="121"/>
        <v>37.045243196543325</v>
      </c>
      <c r="X63" s="20">
        <f t="shared" si="122"/>
        <v>34.39024758715654</v>
      </c>
      <c r="Y63" s="7">
        <v>45</v>
      </c>
      <c r="Z63" s="20">
        <f t="shared" si="123"/>
        <v>36.46067848804992</v>
      </c>
      <c r="AA63" s="20">
        <f t="shared" si="124"/>
        <v>37.87109341819382</v>
      </c>
      <c r="AB63" s="7">
        <v>45</v>
      </c>
      <c r="AC63" s="20">
        <f t="shared" si="125"/>
        <v>35.83182413291773</v>
      </c>
      <c r="AD63" s="20">
        <f t="shared" si="126"/>
        <v>41.3519392492311</v>
      </c>
      <c r="AE63" s="7">
        <v>55</v>
      </c>
      <c r="AF63" s="13">
        <v>2</v>
      </c>
    </row>
    <row r="64" spans="1:32" ht="45" customHeight="1">
      <c r="A64" s="183" t="s">
        <v>47</v>
      </c>
      <c r="B64" s="2"/>
      <c r="C64" s="2">
        <v>1480</v>
      </c>
      <c r="D64" s="11">
        <f>PI()/2*0.526*POWER(0.252,2)*0.41*C64</f>
        <v>31.838476256902638</v>
      </c>
      <c r="E64" s="21">
        <f>(C64-400*SQRT(101.325/(101.325-9.8)-1))*D64/C64</f>
        <v>29.022728674737575</v>
      </c>
      <c r="F64" s="11">
        <f>D64*9.8/98*1.634*1+1.9*POWER(C64/1500,2.36)</f>
        <v>7.043161550325366</v>
      </c>
      <c r="G64" s="43">
        <v>11</v>
      </c>
      <c r="H64" s="21">
        <f>(C64-400*SQRT(101.325/(101.325-14.7)-1))*D64/C64</f>
        <v>28.293710070014424</v>
      </c>
      <c r="I64" s="11">
        <f>D64*14.7/98*1.634*1+1.9*POWER(C64/1500,2.36)</f>
        <v>9.644365060514312</v>
      </c>
      <c r="J64" s="2">
        <v>11</v>
      </c>
      <c r="K64" s="21">
        <f>(C64-400*SQRT(101.325/(101.325-19.6)-1))*D64/C64</f>
        <v>27.624412307455007</v>
      </c>
      <c r="L64" s="21">
        <f>D64*19.6/98*1.634*1+1.9*POWER(C64/1500,2.36)</f>
        <v>12.245568570703258</v>
      </c>
      <c r="M64" s="2">
        <v>15</v>
      </c>
      <c r="N64" s="21">
        <f>(C64-400*SQRT(101.325/(101.325-24.5)-1))*D64/C64</f>
        <v>26.9790800705874</v>
      </c>
      <c r="O64" s="21">
        <f>D64*24.5/98*1.634*1+1.9*POWER(C64/1500,2.36)</f>
        <v>14.846772080892203</v>
      </c>
      <c r="P64" s="2">
        <v>18.5</v>
      </c>
      <c r="Q64" s="21">
        <f>(C64-400*SQRT(101.325/(101.325-29.4)-1))*D64/C64</f>
        <v>26.33693618353647</v>
      </c>
      <c r="R64" s="21">
        <f>D64*29.4/98*1.634*1+1.9*POWER(C64/1500,2.36)</f>
        <v>17.447975591081146</v>
      </c>
      <c r="S64" s="2">
        <v>22</v>
      </c>
      <c r="T64" s="21">
        <f>(C64-400*SQRT(101.325/(101.325-34.3)-1))*D64/C64</f>
        <v>25.682751405632548</v>
      </c>
      <c r="U64" s="21">
        <f>D64*34.3/98*1.634*1+1.9*POWER(C64/1500,2.36)</f>
        <v>20.04917910127009</v>
      </c>
      <c r="V64" s="2">
        <v>30</v>
      </c>
      <c r="W64" s="21">
        <f>(C64-400*SQRT(101.325/(101.325-39.2)-1))*D64/C64</f>
        <v>25.003132140563945</v>
      </c>
      <c r="X64" s="21">
        <f>D64*39.2/98*1.634*1+1.9*POWER(C64/1500,2.36)</f>
        <v>22.650382611459037</v>
      </c>
      <c r="Y64" s="2">
        <v>30</v>
      </c>
      <c r="Z64" s="21">
        <f>(C64-400*SQRT(101.325/(101.325-44.1)-1))*D64/C64</f>
        <v>24.284476876748965</v>
      </c>
      <c r="AA64" s="21">
        <f>D64*44.1/98*1.634*1+1.9*POWER(C64/1500,2.36)</f>
        <v>25.251586121647986</v>
      </c>
      <c r="AB64" s="2">
        <v>30</v>
      </c>
      <c r="AC64" s="21">
        <f>(C64-400*SQRT(101.325/(101.325-49)-1))*D64/C64</f>
        <v>23.511372572088703</v>
      </c>
      <c r="AD64" s="21">
        <f>D64*49/98*1.634*1+1.9*POWER(C64/1500,2.36)</f>
        <v>27.852789631836927</v>
      </c>
      <c r="AE64" s="2">
        <v>37</v>
      </c>
      <c r="AF64" s="9">
        <v>2</v>
      </c>
    </row>
    <row r="65" spans="1:32" ht="45" customHeight="1">
      <c r="A65" s="173"/>
      <c r="B65" s="1"/>
      <c r="C65" s="1">
        <v>1680</v>
      </c>
      <c r="D65" s="5">
        <f aca="true" t="shared" si="127" ref="D65:D70">PI()/2*0.526*POWER(0.252,2)*0.41*C65</f>
        <v>36.14097304837597</v>
      </c>
      <c r="E65" s="8">
        <f aca="true" t="shared" si="128" ref="E65:E70">(C65-400*SQRT(101.325/(101.325-9.8)-1))*D65/C65</f>
        <v>33.32522546621091</v>
      </c>
      <c r="F65" s="5">
        <f aca="true" t="shared" si="129" ref="F65:F70">D65*9.8/98*1.634*1+1.9*POWER(C65/1500,2.36)</f>
        <v>8.388042904184347</v>
      </c>
      <c r="G65" s="44">
        <v>11</v>
      </c>
      <c r="H65" s="8">
        <f aca="true" t="shared" si="130" ref="H65:H70">(C65-400*SQRT(101.325/(101.325-14.7)-1))*D65/C65</f>
        <v>32.59620686148776</v>
      </c>
      <c r="I65" s="8">
        <f aca="true" t="shared" si="131" ref="I65:I70">D65*14.7/98*1.634*1+1.9*POWER(C65/1500,2.36)</f>
        <v>11.340760402236661</v>
      </c>
      <c r="J65" s="1">
        <v>15</v>
      </c>
      <c r="K65" s="8">
        <f aca="true" t="shared" si="132" ref="K65:K70">(C65-400*SQRT(101.325/(101.325-19.6)-1))*D65/C65</f>
        <v>31.926909098928338</v>
      </c>
      <c r="L65" s="8">
        <f aca="true" t="shared" si="133" ref="L65:L70">D65*19.6/98*1.634*1+1.9*POWER(C65/1500,2.36)</f>
        <v>14.29347790028898</v>
      </c>
      <c r="M65" s="1">
        <v>18.5</v>
      </c>
      <c r="N65" s="8">
        <f aca="true" t="shared" si="134" ref="N65:N70">(C65-400*SQRT(101.325/(101.325-24.5)-1))*D65/C65</f>
        <v>31.281576862060735</v>
      </c>
      <c r="O65" s="8">
        <f aca="true" t="shared" si="135" ref="O65:O70">D65*24.5/98*1.634*1+1.9*POWER(C65/1500,2.36)</f>
        <v>17.246195398341296</v>
      </c>
      <c r="P65" s="1">
        <v>22</v>
      </c>
      <c r="Q65" s="8">
        <f aca="true" t="shared" si="136" ref="Q65:Q70">(C65-400*SQRT(101.325/(101.325-29.4)-1))*D65/C65</f>
        <v>30.6394329750098</v>
      </c>
      <c r="R65" s="8">
        <f aca="true" t="shared" si="137" ref="R65:R70">D65*29.4/98*1.634*1+1.9*POWER(C65/1500,2.36)</f>
        <v>20.198912896393608</v>
      </c>
      <c r="S65" s="1">
        <v>30</v>
      </c>
      <c r="T65" s="8">
        <f aca="true" t="shared" si="138" ref="T65:T70">(C65-400*SQRT(101.325/(101.325-34.3)-1))*D65/C65</f>
        <v>29.985248197105882</v>
      </c>
      <c r="U65" s="8">
        <f aca="true" t="shared" si="139" ref="U65:U70">D65*34.3/98*1.634*1+1.9*POWER(C65/1500,2.36)</f>
        <v>23.151630394445927</v>
      </c>
      <c r="V65" s="1">
        <v>30</v>
      </c>
      <c r="W65" s="8">
        <f aca="true" t="shared" si="140" ref="W65:W70">(C65-400*SQRT(101.325/(101.325-39.2)-1))*D65/C65</f>
        <v>29.305628932037276</v>
      </c>
      <c r="X65" s="8">
        <f aca="true" t="shared" si="141" ref="X65:X70">D65*39.2/98*1.634*1+1.9*POWER(C65/1500,2.36)</f>
        <v>26.10434789249825</v>
      </c>
      <c r="Y65" s="1">
        <v>30</v>
      </c>
      <c r="Z65" s="8">
        <f aca="true" t="shared" si="142" ref="Z65:Z70">(C65-400*SQRT(101.325/(101.325-44.1)-1))*D65/C65</f>
        <v>28.586973668222292</v>
      </c>
      <c r="AA65" s="8">
        <f aca="true" t="shared" si="143" ref="AA65:AA70">D65*44.1/98*1.634*1+1.9*POWER(C65/1500,2.36)</f>
        <v>29.05706539055056</v>
      </c>
      <c r="AB65" s="1">
        <v>37</v>
      </c>
      <c r="AC65" s="8">
        <f aca="true" t="shared" si="144" ref="AC65:AC70">(C65-400*SQRT(101.325/(101.325-49)-1))*D65/C65</f>
        <v>27.813869363562034</v>
      </c>
      <c r="AD65" s="8">
        <f aca="true" t="shared" si="145" ref="AD65:AD70">D65*49/98*1.634*1+1.9*POWER(C65/1500,2.36)</f>
        <v>32.00978288860288</v>
      </c>
      <c r="AE65" s="1">
        <v>37</v>
      </c>
      <c r="AF65" s="6">
        <v>2</v>
      </c>
    </row>
    <row r="66" spans="1:32" ht="45" customHeight="1">
      <c r="A66" s="173"/>
      <c r="B66" s="1"/>
      <c r="C66" s="1">
        <v>1880</v>
      </c>
      <c r="D66" s="5">
        <f t="shared" si="127"/>
        <v>40.44346983984929</v>
      </c>
      <c r="E66" s="8">
        <f t="shared" si="128"/>
        <v>37.627722257684226</v>
      </c>
      <c r="F66" s="5">
        <f t="shared" si="129"/>
        <v>9.84582116388453</v>
      </c>
      <c r="G66" s="44">
        <v>15</v>
      </c>
      <c r="H66" s="8">
        <f t="shared" si="130"/>
        <v>36.898703652961075</v>
      </c>
      <c r="I66" s="8">
        <f t="shared" si="131"/>
        <v>13.150052649800216</v>
      </c>
      <c r="J66" s="1">
        <v>18.5</v>
      </c>
      <c r="K66" s="8">
        <f t="shared" si="132"/>
        <v>36.229405890401665</v>
      </c>
      <c r="L66" s="8">
        <f t="shared" si="133"/>
        <v>16.454284135715906</v>
      </c>
      <c r="M66" s="1">
        <v>22</v>
      </c>
      <c r="N66" s="8">
        <f t="shared" si="134"/>
        <v>35.584073653534055</v>
      </c>
      <c r="O66" s="8">
        <f t="shared" si="135"/>
        <v>19.758515621631588</v>
      </c>
      <c r="P66" s="1">
        <v>30</v>
      </c>
      <c r="Q66" s="8">
        <f t="shared" si="136"/>
        <v>34.94192976648313</v>
      </c>
      <c r="R66" s="8">
        <f t="shared" si="137"/>
        <v>23.062747107547274</v>
      </c>
      <c r="S66" s="1">
        <v>30</v>
      </c>
      <c r="T66" s="8">
        <f t="shared" si="138"/>
        <v>34.287744988579206</v>
      </c>
      <c r="U66" s="8">
        <f t="shared" si="139"/>
        <v>26.36697859346296</v>
      </c>
      <c r="V66" s="1">
        <v>30</v>
      </c>
      <c r="W66" s="8">
        <f t="shared" si="140"/>
        <v>33.608125723510604</v>
      </c>
      <c r="X66" s="8">
        <f t="shared" si="141"/>
        <v>29.671210079378653</v>
      </c>
      <c r="Y66" s="1">
        <v>37</v>
      </c>
      <c r="Z66" s="8">
        <f t="shared" si="142"/>
        <v>32.889470459695616</v>
      </c>
      <c r="AA66" s="8">
        <f t="shared" si="143"/>
        <v>32.975441565294346</v>
      </c>
      <c r="AB66" s="1">
        <v>37</v>
      </c>
      <c r="AC66" s="8">
        <f t="shared" si="144"/>
        <v>32.11636615503536</v>
      </c>
      <c r="AD66" s="8">
        <f t="shared" si="145"/>
        <v>36.279673051210025</v>
      </c>
      <c r="AE66" s="1">
        <v>45</v>
      </c>
      <c r="AF66" s="6">
        <v>2</v>
      </c>
    </row>
    <row r="67" spans="1:32" ht="45" customHeight="1">
      <c r="A67" s="173"/>
      <c r="B67" s="1">
        <v>200</v>
      </c>
      <c r="C67" s="1">
        <v>2120</v>
      </c>
      <c r="D67" s="5">
        <f t="shared" si="127"/>
        <v>45.60646598961729</v>
      </c>
      <c r="E67" s="8">
        <f t="shared" si="128"/>
        <v>42.790718407452225</v>
      </c>
      <c r="F67" s="8">
        <f t="shared" si="129"/>
        <v>11.750734422306117</v>
      </c>
      <c r="G67" s="44">
        <v>15</v>
      </c>
      <c r="H67" s="8">
        <f t="shared" si="130"/>
        <v>42.06169980272908</v>
      </c>
      <c r="I67" s="8">
        <f t="shared" si="131"/>
        <v>15.47678269365785</v>
      </c>
      <c r="J67" s="1">
        <v>18.5</v>
      </c>
      <c r="K67" s="8">
        <f t="shared" si="132"/>
        <v>41.392402040169664</v>
      </c>
      <c r="L67" s="8">
        <f t="shared" si="133"/>
        <v>19.202830965009582</v>
      </c>
      <c r="M67" s="1">
        <v>22</v>
      </c>
      <c r="N67" s="8">
        <f t="shared" si="134"/>
        <v>40.747069803302054</v>
      </c>
      <c r="O67" s="8">
        <f t="shared" si="135"/>
        <v>22.928879236361315</v>
      </c>
      <c r="P67" s="1">
        <v>30</v>
      </c>
      <c r="Q67" s="8">
        <f t="shared" si="136"/>
        <v>40.104925916251126</v>
      </c>
      <c r="R67" s="8">
        <f t="shared" si="137"/>
        <v>26.654927507713044</v>
      </c>
      <c r="S67" s="1">
        <v>30</v>
      </c>
      <c r="T67" s="8">
        <f t="shared" si="138"/>
        <v>39.450741138347205</v>
      </c>
      <c r="U67" s="8">
        <f t="shared" si="139"/>
        <v>30.380975779064773</v>
      </c>
      <c r="V67" s="1">
        <v>37</v>
      </c>
      <c r="W67" s="8">
        <f t="shared" si="140"/>
        <v>38.7711218732786</v>
      </c>
      <c r="X67" s="8">
        <f t="shared" si="141"/>
        <v>34.10702405041651</v>
      </c>
      <c r="Y67" s="1">
        <v>45</v>
      </c>
      <c r="Z67" s="8">
        <f t="shared" si="142"/>
        <v>38.052466609463615</v>
      </c>
      <c r="AA67" s="8">
        <f t="shared" si="143"/>
        <v>37.83307232176825</v>
      </c>
      <c r="AB67" s="1">
        <v>45</v>
      </c>
      <c r="AC67" s="8">
        <f t="shared" si="144"/>
        <v>37.27936230480336</v>
      </c>
      <c r="AD67" s="8">
        <f t="shared" si="145"/>
        <v>41.55912059311998</v>
      </c>
      <c r="AE67" s="1">
        <v>55</v>
      </c>
      <c r="AF67" s="6">
        <v>2</v>
      </c>
    </row>
    <row r="68" spans="1:32" ht="45" customHeight="1">
      <c r="A68" s="173"/>
      <c r="B68" s="1"/>
      <c r="C68" s="1">
        <v>2370</v>
      </c>
      <c r="D68" s="5">
        <f t="shared" si="127"/>
        <v>50.98458697895895</v>
      </c>
      <c r="E68" s="8">
        <f t="shared" si="128"/>
        <v>48.168839396793885</v>
      </c>
      <c r="F68" s="8">
        <f t="shared" si="129"/>
        <v>13.9231025139816</v>
      </c>
      <c r="G68" s="44">
        <v>18.5</v>
      </c>
      <c r="H68" s="8">
        <f t="shared" si="130"/>
        <v>47.43982079207075</v>
      </c>
      <c r="I68" s="8">
        <f t="shared" si="131"/>
        <v>18.088543270162546</v>
      </c>
      <c r="J68" s="1">
        <v>22</v>
      </c>
      <c r="K68" s="8">
        <f t="shared" si="132"/>
        <v>46.770523029511324</v>
      </c>
      <c r="L68" s="8">
        <f t="shared" si="133"/>
        <v>22.253984026343495</v>
      </c>
      <c r="M68" s="1">
        <v>30</v>
      </c>
      <c r="N68" s="8">
        <f t="shared" si="134"/>
        <v>46.12519079264372</v>
      </c>
      <c r="O68" s="8">
        <f t="shared" si="135"/>
        <v>26.419424782524437</v>
      </c>
      <c r="P68" s="1">
        <v>30</v>
      </c>
      <c r="Q68" s="8">
        <f t="shared" si="136"/>
        <v>45.48304690559278</v>
      </c>
      <c r="R68" s="8">
        <f t="shared" si="137"/>
        <v>30.584865538705387</v>
      </c>
      <c r="S68" s="1">
        <v>37</v>
      </c>
      <c r="T68" s="8">
        <f t="shared" si="138"/>
        <v>44.82886212768886</v>
      </c>
      <c r="U68" s="8">
        <f t="shared" si="139"/>
        <v>34.75030629488633</v>
      </c>
      <c r="V68" s="1">
        <v>45</v>
      </c>
      <c r="W68" s="8">
        <f t="shared" si="140"/>
        <v>44.149242862620255</v>
      </c>
      <c r="X68" s="8">
        <f t="shared" si="141"/>
        <v>38.91574705106728</v>
      </c>
      <c r="Y68" s="1">
        <v>45</v>
      </c>
      <c r="Z68" s="8">
        <f t="shared" si="142"/>
        <v>43.430587598805275</v>
      </c>
      <c r="AA68" s="8">
        <f t="shared" si="143"/>
        <v>43.08118780724822</v>
      </c>
      <c r="AB68" s="1">
        <v>55</v>
      </c>
      <c r="AC68" s="8">
        <f t="shared" si="144"/>
        <v>42.65748329414502</v>
      </c>
      <c r="AD68" s="8">
        <f t="shared" si="145"/>
        <v>47.24662856342917</v>
      </c>
      <c r="AE68" s="1">
        <v>55</v>
      </c>
      <c r="AF68" s="6">
        <v>2</v>
      </c>
    </row>
    <row r="69" spans="1:32" ht="45" customHeight="1">
      <c r="A69" s="173"/>
      <c r="B69" s="1"/>
      <c r="C69" s="1">
        <v>2650</v>
      </c>
      <c r="D69" s="5">
        <f t="shared" si="127"/>
        <v>57.00808248702161</v>
      </c>
      <c r="E69" s="8">
        <f t="shared" si="128"/>
        <v>54.19233490485655</v>
      </c>
      <c r="F69" s="8">
        <f t="shared" si="129"/>
        <v>16.59356379283081</v>
      </c>
      <c r="G69" s="44">
        <v>22</v>
      </c>
      <c r="H69" s="8">
        <f t="shared" si="130"/>
        <v>53.46331630013341</v>
      </c>
      <c r="I69" s="8">
        <f t="shared" si="131"/>
        <v>21.251124132020472</v>
      </c>
      <c r="J69" s="1">
        <v>30</v>
      </c>
      <c r="K69" s="8">
        <f t="shared" si="132"/>
        <v>52.79401853757398</v>
      </c>
      <c r="L69" s="8">
        <f t="shared" si="133"/>
        <v>25.908684471210144</v>
      </c>
      <c r="M69" s="1">
        <v>30</v>
      </c>
      <c r="N69" s="8">
        <f t="shared" si="134"/>
        <v>52.14868630070638</v>
      </c>
      <c r="O69" s="8">
        <f t="shared" si="135"/>
        <v>30.5662448103998</v>
      </c>
      <c r="P69" s="1">
        <v>37</v>
      </c>
      <c r="Q69" s="8">
        <f t="shared" si="136"/>
        <v>51.506542413655446</v>
      </c>
      <c r="R69" s="8">
        <f t="shared" si="137"/>
        <v>35.22380514958947</v>
      </c>
      <c r="S69" s="1">
        <v>45</v>
      </c>
      <c r="T69" s="8">
        <f t="shared" si="138"/>
        <v>50.85235763575152</v>
      </c>
      <c r="U69" s="8">
        <f t="shared" si="139"/>
        <v>39.88136548877913</v>
      </c>
      <c r="V69" s="1">
        <v>45</v>
      </c>
      <c r="W69" s="8">
        <f t="shared" si="140"/>
        <v>50.172738370682914</v>
      </c>
      <c r="X69" s="8">
        <f t="shared" si="141"/>
        <v>44.538925827968804</v>
      </c>
      <c r="Y69" s="1">
        <v>55</v>
      </c>
      <c r="Z69" s="8">
        <f t="shared" si="142"/>
        <v>49.454083106867934</v>
      </c>
      <c r="AA69" s="8">
        <f t="shared" si="143"/>
        <v>49.19648616715847</v>
      </c>
      <c r="AB69" s="1">
        <v>55</v>
      </c>
      <c r="AC69" s="8">
        <f t="shared" si="144"/>
        <v>48.680978802207676</v>
      </c>
      <c r="AD69" s="8">
        <f t="shared" si="145"/>
        <v>53.854046506348126</v>
      </c>
      <c r="AE69" s="1">
        <v>75</v>
      </c>
      <c r="AF69" s="6">
        <v>2</v>
      </c>
    </row>
    <row r="70" spans="1:32" ht="45" customHeight="1">
      <c r="A70" s="184"/>
      <c r="B70" s="7"/>
      <c r="C70" s="7">
        <v>2800</v>
      </c>
      <c r="D70" s="12">
        <f t="shared" si="127"/>
        <v>60.23495508062661</v>
      </c>
      <c r="E70" s="20">
        <f t="shared" si="128"/>
        <v>57.419207498461546</v>
      </c>
      <c r="F70" s="20">
        <f t="shared" si="129"/>
        <v>18.130800849394866</v>
      </c>
      <c r="G70" s="46">
        <v>22</v>
      </c>
      <c r="H70" s="20">
        <f t="shared" si="130"/>
        <v>56.69018889373841</v>
      </c>
      <c r="I70" s="20">
        <f t="shared" si="131"/>
        <v>23.05199667948206</v>
      </c>
      <c r="J70" s="7">
        <v>30</v>
      </c>
      <c r="K70" s="20">
        <f t="shared" si="132"/>
        <v>56.020891131178985</v>
      </c>
      <c r="L70" s="20">
        <f t="shared" si="133"/>
        <v>27.97319250956926</v>
      </c>
      <c r="M70" s="7">
        <v>37</v>
      </c>
      <c r="N70" s="20">
        <f t="shared" si="134"/>
        <v>55.375558894311375</v>
      </c>
      <c r="O70" s="20">
        <f t="shared" si="135"/>
        <v>32.89438833965645</v>
      </c>
      <c r="P70" s="7">
        <v>37</v>
      </c>
      <c r="Q70" s="20">
        <f t="shared" si="136"/>
        <v>54.73341500726044</v>
      </c>
      <c r="R70" s="20">
        <f t="shared" si="137"/>
        <v>37.815584169743644</v>
      </c>
      <c r="S70" s="7">
        <v>45</v>
      </c>
      <c r="T70" s="20">
        <f t="shared" si="138"/>
        <v>54.079230229356526</v>
      </c>
      <c r="U70" s="20">
        <f t="shared" si="139"/>
        <v>42.73677999983084</v>
      </c>
      <c r="V70" s="7">
        <v>55</v>
      </c>
      <c r="W70" s="20">
        <f t="shared" si="140"/>
        <v>53.39961096428792</v>
      </c>
      <c r="X70" s="20">
        <f t="shared" si="141"/>
        <v>47.65797582991804</v>
      </c>
      <c r="Y70" s="7">
        <v>55</v>
      </c>
      <c r="Z70" s="20">
        <f t="shared" si="142"/>
        <v>52.680955700472936</v>
      </c>
      <c r="AA70" s="20">
        <f t="shared" si="143"/>
        <v>52.57917166000523</v>
      </c>
      <c r="AB70" s="7">
        <v>75</v>
      </c>
      <c r="AC70" s="20">
        <f t="shared" si="144"/>
        <v>51.90785139581268</v>
      </c>
      <c r="AD70" s="20">
        <f t="shared" si="145"/>
        <v>57.50036749009242</v>
      </c>
      <c r="AE70" s="7">
        <v>75</v>
      </c>
      <c r="AF70" s="13">
        <v>2</v>
      </c>
    </row>
    <row r="71" spans="1:32" ht="45" customHeight="1">
      <c r="A71" s="183" t="s">
        <v>48</v>
      </c>
      <c r="B71" s="2"/>
      <c r="C71" s="2">
        <v>1480</v>
      </c>
      <c r="D71" s="11">
        <f>PI()/2*0.526*POWER(0.252,2)*0.56*C71</f>
        <v>43.48669927772068</v>
      </c>
      <c r="E71" s="21">
        <f>(C71-380*SQRT(101.325/(101.325-9.8)-1))*D71/C71</f>
        <v>39.83309509793577</v>
      </c>
      <c r="F71" s="21">
        <f>D71*9.8/98*1.634*1+2.6*POWER(C71/1500,2.36)</f>
        <v>9.624653913486632</v>
      </c>
      <c r="G71" s="43">
        <v>15</v>
      </c>
      <c r="H71" s="21">
        <f>(C71-380*SQRT(101.325/(101.325-14.7)-1))*D71/C71</f>
        <v>38.88714900595354</v>
      </c>
      <c r="I71" s="21">
        <f>D71*14.7/98*1.634*1+2.6*POWER(C71/1500,2.36)</f>
        <v>13.177517244476409</v>
      </c>
      <c r="J71" s="2">
        <v>18.5</v>
      </c>
      <c r="K71" s="21">
        <f>(C71-380*SQRT(101.325/(101.325-19.6)-1))*D71/C71</f>
        <v>38.01869434819351</v>
      </c>
      <c r="L71" s="21">
        <f>D71*19.6/98*1.634*1+2.6*POWER(C71/1500,2.36)</f>
        <v>16.730380575466192</v>
      </c>
      <c r="M71" s="2">
        <v>22</v>
      </c>
      <c r="N71" s="21">
        <f>(C71-380*SQRT(101.325/(101.325-24.5)-1))*D71/C71</f>
        <v>37.18133642133116</v>
      </c>
      <c r="O71" s="21">
        <f>D71*24.5/98*1.634*1+2.6*POWER(C71/1500,2.36)</f>
        <v>20.28324390645597</v>
      </c>
      <c r="P71" s="2">
        <v>30</v>
      </c>
      <c r="Q71" s="21">
        <f>(C71-380*SQRT(101.325/(101.325-29.4)-1))*D71/C71</f>
        <v>36.348115572767504</v>
      </c>
      <c r="R71" s="21">
        <f>D71*29.4/98*1.634*1+2.6*POWER(C71/1500,2.36)</f>
        <v>23.836107237445745</v>
      </c>
      <c r="S71" s="2">
        <v>30</v>
      </c>
      <c r="T71" s="21">
        <f>(C71-380*SQRT(101.325/(101.325-34.3)-1))*D71/C71</f>
        <v>35.49927093412145</v>
      </c>
      <c r="U71" s="21">
        <f>D71*34.3/98*1.634*1+2.6*POWER(C71/1500,2.36)</f>
        <v>27.38897056843553</v>
      </c>
      <c r="V71" s="2">
        <v>37</v>
      </c>
      <c r="W71" s="21">
        <f>(C71-380*SQRT(101.325/(101.325-39.2)-1))*D71/C71</f>
        <v>34.61742349749585</v>
      </c>
      <c r="X71" s="21">
        <f>D71*39.2/98*1.634*1+2.6*POWER(C71/1500,2.36)</f>
        <v>30.94183389942531</v>
      </c>
      <c r="Y71" s="2">
        <v>37</v>
      </c>
      <c r="Z71" s="21">
        <f>(C71-380*SQRT(101.325/(101.325-44.1)-1))*D71/C71</f>
        <v>33.68492447225299</v>
      </c>
      <c r="AA71" s="21">
        <f>D71*44.1/98*1.634*1+2.6*POWER(C71/1500,2.36)</f>
        <v>34.494697230415085</v>
      </c>
      <c r="AB71" s="2">
        <v>45</v>
      </c>
      <c r="AC71" s="21">
        <f>(C71-380*SQRT(101.325/(101.325-49)-1))*D71/C71</f>
        <v>32.68177449644992</v>
      </c>
      <c r="AD71" s="21">
        <f>D71*49/98*1.634*1+2.6*POWER(C71/1500,2.36)</f>
        <v>38.047560561404865</v>
      </c>
      <c r="AE71" s="2">
        <v>45</v>
      </c>
      <c r="AF71" s="9">
        <v>2</v>
      </c>
    </row>
    <row r="72" spans="1:32" ht="45" customHeight="1">
      <c r="A72" s="173"/>
      <c r="B72" s="1"/>
      <c r="C72" s="1">
        <v>1680</v>
      </c>
      <c r="D72" s="5">
        <f aca="true" t="shared" si="146" ref="D72:D77">PI()/2*0.526*POWER(0.252,2)*0.56*C72</f>
        <v>49.36328026119645</v>
      </c>
      <c r="E72" s="8">
        <f aca="true" t="shared" si="147" ref="E72:E77">(C72-380*SQRT(101.325/(101.325-9.8)-1))*D72/C72</f>
        <v>45.70967608141154</v>
      </c>
      <c r="F72" s="8">
        <f aca="true" t="shared" si="148" ref="F72:F77">D72*9.8/98*1.634*1+2.6*POWER(C72/1500,2.36)</f>
        <v>11.463212921525425</v>
      </c>
      <c r="G72" s="44">
        <v>15</v>
      </c>
      <c r="H72" s="8">
        <f aca="true" t="shared" si="149" ref="H72:H77">(C72-380*SQRT(101.325/(101.325-14.7)-1))*D72/C72</f>
        <v>44.76372998942931</v>
      </c>
      <c r="I72" s="8">
        <f aca="true" t="shared" si="150" ref="I72:I77">D72*14.7/98*1.634*1+2.6*POWER(C72/1500,2.36)</f>
        <v>15.496192918865173</v>
      </c>
      <c r="J72" s="1">
        <v>18.5</v>
      </c>
      <c r="K72" s="8">
        <f aca="true" t="shared" si="151" ref="K72:K77">(C72-380*SQRT(101.325/(101.325-19.6)-1))*D72/C72</f>
        <v>43.89527533166928</v>
      </c>
      <c r="L72" s="8">
        <f aca="true" t="shared" si="152" ref="L72:L77">D72*19.6/98*1.634*1+2.6*POWER(C72/1500,2.36)</f>
        <v>19.529172916204924</v>
      </c>
      <c r="M72" s="1">
        <v>22</v>
      </c>
      <c r="N72" s="8">
        <f aca="true" t="shared" si="153" ref="N72:N77">(C72-380*SQRT(101.325/(101.325-24.5)-1))*D72/C72</f>
        <v>43.05791740480693</v>
      </c>
      <c r="O72" s="8">
        <f aca="true" t="shared" si="154" ref="O72:O77">D72*24.5/98*1.634*1+2.6*POWER(C72/1500,2.36)</f>
        <v>23.562152913544672</v>
      </c>
      <c r="P72" s="1">
        <v>30</v>
      </c>
      <c r="Q72" s="8">
        <f aca="true" t="shared" si="155" ref="Q72:Q77">(C72-380*SQRT(101.325/(101.325-29.4)-1))*D72/C72</f>
        <v>42.22469655624327</v>
      </c>
      <c r="R72" s="8">
        <f aca="true" t="shared" si="156" ref="R72:R77">D72*29.4/98*1.634*1+2.6*POWER(C72/1500,2.36)</f>
        <v>27.59513291088442</v>
      </c>
      <c r="S72" s="1">
        <v>37</v>
      </c>
      <c r="T72" s="8">
        <f aca="true" t="shared" si="157" ref="T72:T77">(C72-380*SQRT(101.325/(101.325-34.3)-1))*D72/C72</f>
        <v>41.37585191759722</v>
      </c>
      <c r="U72" s="8">
        <f aca="true" t="shared" si="158" ref="U72:U77">D72*34.3/98*1.634*1+2.6*POWER(C72/1500,2.36)</f>
        <v>31.628112908224168</v>
      </c>
      <c r="V72" s="1">
        <v>37</v>
      </c>
      <c r="W72" s="8">
        <f aca="true" t="shared" si="159" ref="W72:W77">(C72-380*SQRT(101.325/(101.325-39.2)-1))*D72/C72</f>
        <v>40.49400448097162</v>
      </c>
      <c r="X72" s="8">
        <f aca="true" t="shared" si="160" ref="X72:X77">D72*39.2/98*1.634*1+2.6*POWER(C72/1500,2.36)</f>
        <v>35.661092905563926</v>
      </c>
      <c r="Y72" s="1">
        <v>45</v>
      </c>
      <c r="Z72" s="8">
        <f aca="true" t="shared" si="161" ref="Z72:Z77">(C72-380*SQRT(101.325/(101.325-44.1)-1))*D72/C72</f>
        <v>39.561505455728756</v>
      </c>
      <c r="AA72" s="8">
        <f aca="true" t="shared" si="162" ref="AA72:AA77">D72*44.1/98*1.634*1+2.6*POWER(C72/1500,2.36)</f>
        <v>39.69407290290367</v>
      </c>
      <c r="AB72" s="1">
        <v>45</v>
      </c>
      <c r="AC72" s="8">
        <f aca="true" t="shared" si="163" ref="AC72:AC77">(C72-380*SQRT(101.325/(101.325-49)-1))*D72/C72</f>
        <v>38.55835547992569</v>
      </c>
      <c r="AD72" s="8">
        <f aca="true" t="shared" si="164" ref="AD72:AD77">D72*49/98*1.634*1+2.6*POWER(C72/1500,2.36)</f>
        <v>43.72705290024342</v>
      </c>
      <c r="AE72" s="1">
        <v>55</v>
      </c>
      <c r="AF72" s="6">
        <v>2</v>
      </c>
    </row>
    <row r="73" spans="1:32" ht="45" customHeight="1">
      <c r="A73" s="173"/>
      <c r="B73" s="1"/>
      <c r="C73" s="1">
        <v>1880</v>
      </c>
      <c r="D73" s="5">
        <f t="shared" si="146"/>
        <v>55.23986124467222</v>
      </c>
      <c r="E73" s="8">
        <f t="shared" si="147"/>
        <v>51.586257064887306</v>
      </c>
      <c r="F73" s="8">
        <f t="shared" si="148"/>
        <v>13.456262432294285</v>
      </c>
      <c r="G73" s="44">
        <v>18.5</v>
      </c>
      <c r="H73" s="8">
        <f t="shared" si="149"/>
        <v>50.64031097290508</v>
      </c>
      <c r="I73" s="8">
        <f t="shared" si="150"/>
        <v>17.969359095984004</v>
      </c>
      <c r="J73" s="1">
        <v>22</v>
      </c>
      <c r="K73" s="8">
        <f t="shared" si="151"/>
        <v>49.77185631514505</v>
      </c>
      <c r="L73" s="8">
        <f t="shared" si="152"/>
        <v>22.482455759673726</v>
      </c>
      <c r="M73" s="1">
        <v>30</v>
      </c>
      <c r="N73" s="8">
        <f t="shared" si="153"/>
        <v>48.9344983882827</v>
      </c>
      <c r="O73" s="8">
        <f t="shared" si="154"/>
        <v>26.995552423363446</v>
      </c>
      <c r="P73" s="1">
        <v>37</v>
      </c>
      <c r="Q73" s="8">
        <f t="shared" si="155"/>
        <v>48.10127753971904</v>
      </c>
      <c r="R73" s="8">
        <f t="shared" si="156"/>
        <v>31.508649087053165</v>
      </c>
      <c r="S73" s="1">
        <v>37</v>
      </c>
      <c r="T73" s="8">
        <f t="shared" si="157"/>
        <v>47.25243290107298</v>
      </c>
      <c r="U73" s="8">
        <f t="shared" si="158"/>
        <v>36.02174575074288</v>
      </c>
      <c r="V73" s="1">
        <v>45</v>
      </c>
      <c r="W73" s="8">
        <f t="shared" si="159"/>
        <v>46.37058546444738</v>
      </c>
      <c r="X73" s="8">
        <f t="shared" si="160"/>
        <v>40.5348424144326</v>
      </c>
      <c r="Y73" s="1">
        <v>45</v>
      </c>
      <c r="Z73" s="8">
        <f t="shared" si="161"/>
        <v>45.438086439204525</v>
      </c>
      <c r="AA73" s="8">
        <f t="shared" si="162"/>
        <v>45.047939078122326</v>
      </c>
      <c r="AB73" s="1">
        <v>55</v>
      </c>
      <c r="AC73" s="8">
        <f t="shared" si="163"/>
        <v>44.434936463401456</v>
      </c>
      <c r="AD73" s="8">
        <f t="shared" si="164"/>
        <v>49.56103574181204</v>
      </c>
      <c r="AE73" s="1">
        <v>55</v>
      </c>
      <c r="AF73" s="6">
        <v>2</v>
      </c>
    </row>
    <row r="74" spans="1:32" ht="45" customHeight="1">
      <c r="A74" s="173"/>
      <c r="B74" s="1">
        <v>200</v>
      </c>
      <c r="C74" s="1">
        <v>2120</v>
      </c>
      <c r="D74" s="5">
        <f t="shared" si="146"/>
        <v>62.291758424843145</v>
      </c>
      <c r="E74" s="8">
        <f t="shared" si="147"/>
        <v>58.638154245058224</v>
      </c>
      <c r="F74" s="8">
        <f t="shared" si="148"/>
        <v>16.060819898707212</v>
      </c>
      <c r="G74" s="44">
        <v>18.5</v>
      </c>
      <c r="H74" s="8">
        <f t="shared" si="149"/>
        <v>57.692208153075995</v>
      </c>
      <c r="I74" s="8">
        <f t="shared" si="150"/>
        <v>21.150056562016893</v>
      </c>
      <c r="J74" s="1">
        <v>30</v>
      </c>
      <c r="K74" s="8">
        <f t="shared" si="151"/>
        <v>56.82375349531598</v>
      </c>
      <c r="L74" s="8">
        <f t="shared" si="152"/>
        <v>26.23929322532658</v>
      </c>
      <c r="M74" s="1">
        <v>30</v>
      </c>
      <c r="N74" s="8">
        <f t="shared" si="153"/>
        <v>55.98639556845362</v>
      </c>
      <c r="O74" s="8">
        <f t="shared" si="154"/>
        <v>31.328529888636268</v>
      </c>
      <c r="P74" s="1">
        <v>37</v>
      </c>
      <c r="Q74" s="8">
        <f t="shared" si="155"/>
        <v>55.15317471988996</v>
      </c>
      <c r="R74" s="8">
        <f t="shared" si="156"/>
        <v>36.417766551945945</v>
      </c>
      <c r="S74" s="1">
        <v>45</v>
      </c>
      <c r="T74" s="8">
        <f t="shared" si="157"/>
        <v>54.304330081243904</v>
      </c>
      <c r="U74" s="8">
        <f t="shared" si="158"/>
        <v>41.50700321525564</v>
      </c>
      <c r="V74" s="1">
        <v>55</v>
      </c>
      <c r="W74" s="8">
        <f t="shared" si="159"/>
        <v>53.42248264461831</v>
      </c>
      <c r="X74" s="8">
        <f t="shared" si="160"/>
        <v>46.59623987856532</v>
      </c>
      <c r="Y74" s="1">
        <v>55</v>
      </c>
      <c r="Z74" s="8">
        <f t="shared" si="161"/>
        <v>52.48998361937545</v>
      </c>
      <c r="AA74" s="8">
        <f t="shared" si="162"/>
        <v>51.685476541875005</v>
      </c>
      <c r="AB74" s="1">
        <v>75</v>
      </c>
      <c r="AC74" s="8">
        <f t="shared" si="163"/>
        <v>51.486833643572375</v>
      </c>
      <c r="AD74" s="8">
        <f t="shared" si="164"/>
        <v>56.774713205184696</v>
      </c>
      <c r="AE74" s="1">
        <v>75</v>
      </c>
      <c r="AF74" s="6">
        <v>2</v>
      </c>
    </row>
    <row r="75" spans="1:32" ht="45" customHeight="1">
      <c r="A75" s="173"/>
      <c r="B75" s="1"/>
      <c r="C75" s="1">
        <v>2370</v>
      </c>
      <c r="D75" s="5">
        <f t="shared" si="146"/>
        <v>69.63748465418786</v>
      </c>
      <c r="E75" s="8">
        <f t="shared" si="147"/>
        <v>65.98388047440295</v>
      </c>
      <c r="F75" s="8">
        <f t="shared" si="148"/>
        <v>19.03127794207916</v>
      </c>
      <c r="G75" s="44">
        <v>22</v>
      </c>
      <c r="H75" s="8">
        <f t="shared" si="149"/>
        <v>65.03793438242072</v>
      </c>
      <c r="I75" s="8">
        <f t="shared" si="150"/>
        <v>24.72066043832631</v>
      </c>
      <c r="J75" s="1">
        <v>30</v>
      </c>
      <c r="K75" s="8">
        <f t="shared" si="151"/>
        <v>64.16947972466069</v>
      </c>
      <c r="L75" s="8">
        <f t="shared" si="152"/>
        <v>30.410042934573458</v>
      </c>
      <c r="M75" s="1">
        <v>37</v>
      </c>
      <c r="N75" s="8">
        <f t="shared" si="153"/>
        <v>63.33212179779834</v>
      </c>
      <c r="O75" s="8">
        <f t="shared" si="154"/>
        <v>36.0994254308206</v>
      </c>
      <c r="P75" s="1">
        <v>45</v>
      </c>
      <c r="Q75" s="8">
        <f t="shared" si="155"/>
        <v>62.498900949234674</v>
      </c>
      <c r="R75" s="8">
        <f t="shared" si="156"/>
        <v>41.78880792706775</v>
      </c>
      <c r="S75" s="1">
        <v>55</v>
      </c>
      <c r="T75" s="8">
        <f t="shared" si="157"/>
        <v>61.650056310588624</v>
      </c>
      <c r="U75" s="8">
        <f t="shared" si="158"/>
        <v>47.478190423314885</v>
      </c>
      <c r="V75" s="1">
        <v>55</v>
      </c>
      <c r="W75" s="8">
        <f t="shared" si="159"/>
        <v>60.76820887396302</v>
      </c>
      <c r="X75" s="8">
        <f t="shared" si="160"/>
        <v>53.16757291956205</v>
      </c>
      <c r="Y75" s="1">
        <v>75</v>
      </c>
      <c r="Z75" s="8">
        <f t="shared" si="161"/>
        <v>59.835709848720164</v>
      </c>
      <c r="AA75" s="8">
        <f t="shared" si="162"/>
        <v>58.85695541580919</v>
      </c>
      <c r="AB75" s="1">
        <v>75</v>
      </c>
      <c r="AC75" s="8">
        <f t="shared" si="163"/>
        <v>58.83255987291709</v>
      </c>
      <c r="AD75" s="8">
        <f t="shared" si="164"/>
        <v>64.54633791205634</v>
      </c>
      <c r="AE75" s="1">
        <v>75</v>
      </c>
      <c r="AF75" s="6">
        <v>2</v>
      </c>
    </row>
    <row r="76" spans="1:32" ht="45" customHeight="1">
      <c r="A76" s="173"/>
      <c r="B76" s="1"/>
      <c r="C76" s="1">
        <v>2650</v>
      </c>
      <c r="D76" s="5">
        <f t="shared" si="146"/>
        <v>77.86469803105393</v>
      </c>
      <c r="E76" s="8">
        <f t="shared" si="147"/>
        <v>74.21109385126903</v>
      </c>
      <c r="F76" s="8">
        <f t="shared" si="148"/>
        <v>22.683066446470974</v>
      </c>
      <c r="G76" s="44">
        <v>30</v>
      </c>
      <c r="H76" s="8">
        <f t="shared" si="149"/>
        <v>73.26514775928679</v>
      </c>
      <c r="I76" s="8">
        <f t="shared" si="150"/>
        <v>29.04461227560808</v>
      </c>
      <c r="J76" s="1">
        <v>37</v>
      </c>
      <c r="K76" s="8">
        <f t="shared" si="151"/>
        <v>72.39669310152676</v>
      </c>
      <c r="L76" s="8">
        <f t="shared" si="152"/>
        <v>35.40615810474519</v>
      </c>
      <c r="M76" s="1">
        <v>45</v>
      </c>
      <c r="N76" s="8">
        <f t="shared" si="153"/>
        <v>71.55933517466441</v>
      </c>
      <c r="O76" s="8">
        <f t="shared" si="154"/>
        <v>41.767703933882295</v>
      </c>
      <c r="P76" s="1">
        <v>55</v>
      </c>
      <c r="Q76" s="8">
        <f t="shared" si="155"/>
        <v>70.72611432610076</v>
      </c>
      <c r="R76" s="8">
        <f t="shared" si="156"/>
        <v>48.1292497630194</v>
      </c>
      <c r="S76" s="1">
        <v>55</v>
      </c>
      <c r="T76" s="8">
        <f t="shared" si="157"/>
        <v>69.8772696874547</v>
      </c>
      <c r="U76" s="8">
        <f t="shared" si="158"/>
        <v>54.490795592156495</v>
      </c>
      <c r="V76" s="1">
        <v>75</v>
      </c>
      <c r="W76" s="8">
        <f t="shared" si="159"/>
        <v>68.99542225082911</v>
      </c>
      <c r="X76" s="8">
        <f t="shared" si="160"/>
        <v>60.852341421293616</v>
      </c>
      <c r="Y76" s="1">
        <v>75</v>
      </c>
      <c r="Z76" s="8">
        <f t="shared" si="161"/>
        <v>68.06292322558625</v>
      </c>
      <c r="AA76" s="8">
        <f t="shared" si="162"/>
        <v>67.21388725043072</v>
      </c>
      <c r="AB76" s="1">
        <v>75</v>
      </c>
      <c r="AC76" s="8">
        <f t="shared" si="163"/>
        <v>67.05977324978316</v>
      </c>
      <c r="AD76" s="8">
        <f t="shared" si="164"/>
        <v>73.57543307956783</v>
      </c>
      <c r="AE76" s="1">
        <v>90</v>
      </c>
      <c r="AF76" s="6">
        <v>2</v>
      </c>
    </row>
    <row r="77" spans="1:32" ht="45" customHeight="1" thickBot="1">
      <c r="A77" s="190"/>
      <c r="B77" s="15"/>
      <c r="C77" s="7">
        <v>2800</v>
      </c>
      <c r="D77" s="14">
        <f t="shared" si="146"/>
        <v>82.27213376866075</v>
      </c>
      <c r="E77" s="23">
        <f t="shared" si="147"/>
        <v>78.61852958887584</v>
      </c>
      <c r="F77" s="23">
        <f t="shared" si="148"/>
        <v>24.78530028515351</v>
      </c>
      <c r="G77" s="45">
        <v>30</v>
      </c>
      <c r="H77" s="23">
        <f t="shared" si="149"/>
        <v>77.67258349689361</v>
      </c>
      <c r="I77" s="23">
        <f t="shared" si="150"/>
        <v>31.50693361405309</v>
      </c>
      <c r="J77" s="15">
        <v>37</v>
      </c>
      <c r="K77" s="23">
        <f t="shared" si="151"/>
        <v>76.80412883913358</v>
      </c>
      <c r="L77" s="23">
        <f t="shared" si="152"/>
        <v>38.22856694295268</v>
      </c>
      <c r="M77" s="15">
        <v>45</v>
      </c>
      <c r="N77" s="23">
        <f t="shared" si="153"/>
        <v>75.96677091227123</v>
      </c>
      <c r="O77" s="23">
        <f t="shared" si="154"/>
        <v>44.95020027185225</v>
      </c>
      <c r="P77" s="15">
        <v>55</v>
      </c>
      <c r="Q77" s="23">
        <f t="shared" si="155"/>
        <v>75.13355006370757</v>
      </c>
      <c r="R77" s="23">
        <f t="shared" si="156"/>
        <v>51.67183360075184</v>
      </c>
      <c r="S77" s="15">
        <v>75</v>
      </c>
      <c r="T77" s="23">
        <f t="shared" si="157"/>
        <v>74.28470542506152</v>
      </c>
      <c r="U77" s="23">
        <f t="shared" si="158"/>
        <v>58.39346692965142</v>
      </c>
      <c r="V77" s="15">
        <v>75</v>
      </c>
      <c r="W77" s="23">
        <f t="shared" si="159"/>
        <v>73.40285798843591</v>
      </c>
      <c r="X77" s="23">
        <f t="shared" si="160"/>
        <v>65.11510025855102</v>
      </c>
      <c r="Y77" s="15">
        <v>75</v>
      </c>
      <c r="Z77" s="23">
        <f t="shared" si="161"/>
        <v>72.47035896319305</v>
      </c>
      <c r="AA77" s="23">
        <f t="shared" si="162"/>
        <v>71.8367335874506</v>
      </c>
      <c r="AB77" s="15">
        <v>90</v>
      </c>
      <c r="AC77" s="23">
        <f t="shared" si="163"/>
        <v>71.46720898739</v>
      </c>
      <c r="AD77" s="23">
        <f t="shared" si="164"/>
        <v>78.55836691635017</v>
      </c>
      <c r="AE77" s="15">
        <v>90</v>
      </c>
      <c r="AF77" s="16">
        <v>2</v>
      </c>
    </row>
    <row r="78" spans="1:32" ht="45" customHeight="1">
      <c r="A78" s="29"/>
      <c r="B78" s="29"/>
      <c r="C78" s="29"/>
      <c r="D78" s="30"/>
      <c r="E78" s="30"/>
      <c r="F78" s="30"/>
      <c r="G78" s="30"/>
      <c r="H78" s="31"/>
      <c r="I78" s="32"/>
      <c r="J78" s="29"/>
      <c r="K78" s="32"/>
      <c r="L78" s="32"/>
      <c r="M78" s="29"/>
      <c r="N78" s="32"/>
      <c r="O78" s="32"/>
      <c r="P78" s="29"/>
      <c r="Q78" s="32"/>
      <c r="R78" s="32"/>
      <c r="S78" s="29"/>
      <c r="T78" s="32"/>
      <c r="U78" s="32"/>
      <c r="V78" s="29"/>
      <c r="W78" s="32"/>
      <c r="X78" s="32"/>
      <c r="Y78" s="29"/>
      <c r="Z78" s="32"/>
      <c r="AA78" s="32"/>
      <c r="AB78" s="29"/>
      <c r="AC78" s="32"/>
      <c r="AD78" s="32"/>
      <c r="AE78" s="29"/>
      <c r="AF78" s="29"/>
    </row>
    <row r="79" spans="1:32" ht="93.75" customHeight="1" thickBot="1">
      <c r="A79" s="168" t="s">
        <v>105</v>
      </c>
      <c r="B79" s="169"/>
      <c r="C79" s="170"/>
      <c r="D79" s="170"/>
      <c r="E79" s="170"/>
      <c r="F79" s="170"/>
      <c r="G79" s="170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</row>
    <row r="80" spans="1:32" ht="45" customHeight="1">
      <c r="A80" s="172" t="s">
        <v>107</v>
      </c>
      <c r="B80" s="174" t="s">
        <v>24</v>
      </c>
      <c r="C80" s="124" t="s">
        <v>108</v>
      </c>
      <c r="D80" s="125" t="s">
        <v>109</v>
      </c>
      <c r="E80" s="176" t="s">
        <v>110</v>
      </c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8"/>
      <c r="AF80" s="38" t="s">
        <v>36</v>
      </c>
    </row>
    <row r="81" spans="1:32" ht="45" customHeight="1">
      <c r="A81" s="173"/>
      <c r="B81" s="175"/>
      <c r="C81" s="26" t="s">
        <v>11</v>
      </c>
      <c r="D81" s="128" t="s">
        <v>106</v>
      </c>
      <c r="E81" s="179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1"/>
      <c r="AF81" s="28" t="s">
        <v>37</v>
      </c>
    </row>
    <row r="82" spans="1:32" ht="45" customHeight="1">
      <c r="A82" s="173" t="s">
        <v>9</v>
      </c>
      <c r="B82" s="1" t="s">
        <v>29</v>
      </c>
      <c r="C82" s="1" t="s">
        <v>13</v>
      </c>
      <c r="D82" s="5" t="s">
        <v>26</v>
      </c>
      <c r="E82" s="164" t="s">
        <v>54</v>
      </c>
      <c r="F82" s="165"/>
      <c r="G82" s="165"/>
      <c r="H82" s="164" t="s">
        <v>55</v>
      </c>
      <c r="I82" s="165"/>
      <c r="J82" s="165"/>
      <c r="K82" s="164" t="s">
        <v>56</v>
      </c>
      <c r="L82" s="165"/>
      <c r="M82" s="165"/>
      <c r="N82" s="164" t="s">
        <v>57</v>
      </c>
      <c r="O82" s="165"/>
      <c r="P82" s="165"/>
      <c r="Q82" s="164" t="s">
        <v>58</v>
      </c>
      <c r="R82" s="165"/>
      <c r="S82" s="165"/>
      <c r="T82" s="164" t="s">
        <v>59</v>
      </c>
      <c r="U82" s="165"/>
      <c r="V82" s="165"/>
      <c r="W82" s="164" t="s">
        <v>53</v>
      </c>
      <c r="X82" s="165"/>
      <c r="Y82" s="165"/>
      <c r="Z82" s="164" t="s">
        <v>60</v>
      </c>
      <c r="AA82" s="165"/>
      <c r="AB82" s="165"/>
      <c r="AC82" s="164" t="s">
        <v>61</v>
      </c>
      <c r="AD82" s="165"/>
      <c r="AE82" s="166"/>
      <c r="AF82" s="191" t="s">
        <v>27</v>
      </c>
    </row>
    <row r="83" spans="1:63" ht="45" customHeight="1">
      <c r="A83" s="182"/>
      <c r="B83" s="33" t="s">
        <v>25</v>
      </c>
      <c r="C83" s="33" t="s">
        <v>14</v>
      </c>
      <c r="D83" s="34" t="s">
        <v>0</v>
      </c>
      <c r="E83" s="35" t="s">
        <v>63</v>
      </c>
      <c r="F83" s="36" t="s">
        <v>64</v>
      </c>
      <c r="G83" s="37" t="s">
        <v>65</v>
      </c>
      <c r="H83" s="35" t="s">
        <v>63</v>
      </c>
      <c r="I83" s="36" t="s">
        <v>64</v>
      </c>
      <c r="J83" s="37" t="s">
        <v>65</v>
      </c>
      <c r="K83" s="35" t="s">
        <v>63</v>
      </c>
      <c r="L83" s="36" t="s">
        <v>64</v>
      </c>
      <c r="M83" s="37" t="s">
        <v>65</v>
      </c>
      <c r="N83" s="35" t="s">
        <v>63</v>
      </c>
      <c r="O83" s="36" t="s">
        <v>64</v>
      </c>
      <c r="P83" s="37" t="s">
        <v>65</v>
      </c>
      <c r="Q83" s="35" t="s">
        <v>63</v>
      </c>
      <c r="R83" s="36" t="s">
        <v>64</v>
      </c>
      <c r="S83" s="37" t="s">
        <v>65</v>
      </c>
      <c r="T83" s="35" t="s">
        <v>63</v>
      </c>
      <c r="U83" s="36" t="s">
        <v>64</v>
      </c>
      <c r="V83" s="37" t="s">
        <v>65</v>
      </c>
      <c r="W83" s="35" t="s">
        <v>63</v>
      </c>
      <c r="X83" s="36" t="s">
        <v>64</v>
      </c>
      <c r="Y83" s="37" t="s">
        <v>65</v>
      </c>
      <c r="Z83" s="35" t="s">
        <v>63</v>
      </c>
      <c r="AA83" s="36" t="s">
        <v>64</v>
      </c>
      <c r="AB83" s="37" t="s">
        <v>65</v>
      </c>
      <c r="AC83" s="35" t="s">
        <v>63</v>
      </c>
      <c r="AD83" s="36" t="s">
        <v>64</v>
      </c>
      <c r="AE83" s="37" t="s">
        <v>65</v>
      </c>
      <c r="AF83" s="191"/>
      <c r="AH83" s="24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</row>
    <row r="84" spans="1:32" ht="45" customHeight="1">
      <c r="A84" s="183" t="s">
        <v>49</v>
      </c>
      <c r="B84" s="185">
        <v>250</v>
      </c>
      <c r="C84" s="2">
        <v>1250</v>
      </c>
      <c r="D84" s="11">
        <f aca="true" t="shared" si="165" ref="D84:D91">PI()/2*0.526*POWER(0.312,2)*0.5*C84</f>
        <v>50.268372722677995</v>
      </c>
      <c r="E84" s="21">
        <f aca="true" t="shared" si="166" ref="E84:E91">(C84-320*SQRT(101.325/(101.325-9.8)-1))*D84/C84</f>
        <v>46.05744331491607</v>
      </c>
      <c r="F84" s="21">
        <f aca="true" t="shared" si="167" ref="F84:F91">D84*9.8/98*1.634*1+2.15*POWER(C84/1200,2.36)</f>
        <v>10.581288662144159</v>
      </c>
      <c r="G84" s="43">
        <v>15</v>
      </c>
      <c r="H84" s="21">
        <f aca="true" t="shared" si="168" ref="H84:H91">(C84-320*SQRT(101.325/(101.325-14.7)-1))*D84/C84</f>
        <v>44.967201454857786</v>
      </c>
      <c r="I84" s="21">
        <f aca="true" t="shared" si="169" ref="I84:I91">D84*14.7/98*1.634*1+2.15*POWER(C84/1200,2.36)</f>
        <v>14.68821471358695</v>
      </c>
      <c r="J84" s="2">
        <v>18.5</v>
      </c>
      <c r="K84" s="21">
        <f aca="true" t="shared" si="170" ref="K84:K91">(C84-320*SQRT(101.325/(101.325-19.6)-1))*D84/C84</f>
        <v>43.9662716667041</v>
      </c>
      <c r="L84" s="21">
        <f aca="true" t="shared" si="171" ref="L84:L91">D84*19.6/98*1.634*1+2.15*POWER(C84/1200,2.36)</f>
        <v>18.795140765029743</v>
      </c>
      <c r="M84" s="2">
        <v>22</v>
      </c>
      <c r="N84" s="21">
        <f aca="true" t="shared" si="172" ref="N84:N91">(C84-320*SQRT(101.325/(101.325-24.5)-1))*D84/C84</f>
        <v>43.00118214262358</v>
      </c>
      <c r="O84" s="21">
        <f aca="true" t="shared" si="173" ref="O84:O91">D84*24.5/98*1.634*1+2.15*POWER(C84/1200,2.36)</f>
        <v>22.902066816472534</v>
      </c>
      <c r="P84" s="2">
        <v>30</v>
      </c>
      <c r="Q84" s="21">
        <f aca="true" t="shared" si="174" ref="Q84:Q91">(C84-320*SQRT(101.325/(101.325-29.4)-1))*D84/C84</f>
        <v>42.04086077180021</v>
      </c>
      <c r="R84" s="21">
        <f aca="true" t="shared" si="175" ref="R84:R91">D84*29.4/98*1.634*1+2.15*POWER(C84/1200,2.36)</f>
        <v>27.008992867915325</v>
      </c>
      <c r="S84" s="2">
        <v>30</v>
      </c>
      <c r="T84" s="21">
        <f aca="true" t="shared" si="176" ref="T84:T91">(C84-320*SQRT(101.325/(101.325-34.3)-1))*D84/C84</f>
        <v>41.062532338941296</v>
      </c>
      <c r="U84" s="21">
        <f aca="true" t="shared" si="177" ref="U84:U91">D84*34.3/98*1.634*1+2.15*POWER(C84/1200,2.36)</f>
        <v>31.115918919358116</v>
      </c>
      <c r="V84" s="2">
        <v>37</v>
      </c>
      <c r="W84" s="21">
        <f aca="true" t="shared" si="178" ref="W84:W91">(C84-320*SQRT(101.325/(101.325-39.2)-1))*D84/C84</f>
        <v>40.04616682113504</v>
      </c>
      <c r="X84" s="21">
        <f aca="true" t="shared" si="179" ref="X84:X91">D84*39.2/98*1.634*1+2.15*POWER(C84/1200,2.36)</f>
        <v>35.22284497080091</v>
      </c>
      <c r="Y84" s="2">
        <v>45</v>
      </c>
      <c r="Z84" s="21">
        <f aca="true" t="shared" si="180" ref="Z84:Z91">(C84-320*SQRT(101.325/(101.325-44.1)-1))*D84/C84</f>
        <v>38.971423259741464</v>
      </c>
      <c r="AA84" s="21">
        <f aca="true" t="shared" si="181" ref="AA84:AA91">D84*44.1/98*1.634*1+2.15*POWER(C84/1200,2.36)</f>
        <v>39.329771022243705</v>
      </c>
      <c r="AB84" s="2">
        <v>45</v>
      </c>
      <c r="AC84" s="21">
        <f aca="true" t="shared" si="182" ref="AC84:AC91">(C84-320*SQRT(101.325/(101.325-49)-1))*D84/C84</f>
        <v>37.81525156580787</v>
      </c>
      <c r="AD84" s="21">
        <f aca="true" t="shared" si="183" ref="AD84:AD91">D84*49/98*1.634*1+2.15*POWER(C84/1200,2.36)</f>
        <v>43.43669707368649</v>
      </c>
      <c r="AE84" s="2">
        <v>55</v>
      </c>
      <c r="AF84" s="9">
        <v>4</v>
      </c>
    </row>
    <row r="85" spans="1:32" ht="45" customHeight="1">
      <c r="A85" s="173"/>
      <c r="B85" s="186"/>
      <c r="C85" s="1">
        <v>1420</v>
      </c>
      <c r="D85" s="5">
        <f t="shared" si="165"/>
        <v>57.104871412962204</v>
      </c>
      <c r="E85" s="8">
        <f t="shared" si="166"/>
        <v>52.89394200520028</v>
      </c>
      <c r="F85" s="8">
        <f t="shared" si="167"/>
        <v>12.52961906091981</v>
      </c>
      <c r="G85" s="44">
        <v>18.5</v>
      </c>
      <c r="H85" s="8">
        <f t="shared" si="168"/>
        <v>51.80370014514199</v>
      </c>
      <c r="I85" s="8">
        <f t="shared" si="169"/>
        <v>17.19508705535882</v>
      </c>
      <c r="J85" s="1">
        <v>22</v>
      </c>
      <c r="K85" s="8">
        <f t="shared" si="170"/>
        <v>50.80277035698831</v>
      </c>
      <c r="L85" s="8">
        <f t="shared" si="171"/>
        <v>21.86055504979783</v>
      </c>
      <c r="M85" s="1">
        <v>30</v>
      </c>
      <c r="N85" s="8">
        <f t="shared" si="172"/>
        <v>49.83768083290779</v>
      </c>
      <c r="O85" s="8">
        <f t="shared" si="173"/>
        <v>26.526023044236844</v>
      </c>
      <c r="P85" s="1">
        <v>30</v>
      </c>
      <c r="Q85" s="8">
        <f t="shared" si="174"/>
        <v>48.87735946208442</v>
      </c>
      <c r="R85" s="8">
        <f t="shared" si="175"/>
        <v>31.191491038675856</v>
      </c>
      <c r="S85" s="1">
        <v>37</v>
      </c>
      <c r="T85" s="8">
        <f t="shared" si="176"/>
        <v>47.899031029225505</v>
      </c>
      <c r="U85" s="8">
        <f t="shared" si="177"/>
        <v>35.856959033114876</v>
      </c>
      <c r="V85" s="1">
        <v>45</v>
      </c>
      <c r="W85" s="8">
        <f t="shared" si="178"/>
        <v>46.88266551141925</v>
      </c>
      <c r="X85" s="8">
        <f t="shared" si="179"/>
        <v>40.52242702755388</v>
      </c>
      <c r="Y85" s="1">
        <v>45</v>
      </c>
      <c r="Z85" s="8">
        <f t="shared" si="180"/>
        <v>45.80792195002568</v>
      </c>
      <c r="AA85" s="8">
        <f t="shared" si="181"/>
        <v>45.1878950219929</v>
      </c>
      <c r="AB85" s="1">
        <v>55</v>
      </c>
      <c r="AC85" s="8">
        <f t="shared" si="182"/>
        <v>44.65175025609208</v>
      </c>
      <c r="AD85" s="8">
        <f t="shared" si="183"/>
        <v>49.853363016431906</v>
      </c>
      <c r="AE85" s="1">
        <v>75</v>
      </c>
      <c r="AF85" s="6">
        <v>4</v>
      </c>
    </row>
    <row r="86" spans="1:32" ht="45" customHeight="1">
      <c r="A86" s="173"/>
      <c r="B86" s="186"/>
      <c r="C86" s="1">
        <v>1580</v>
      </c>
      <c r="D86" s="5">
        <f t="shared" si="165"/>
        <v>63.539223121464985</v>
      </c>
      <c r="E86" s="8">
        <f t="shared" si="166"/>
        <v>59.32829371370306</v>
      </c>
      <c r="F86" s="8">
        <f t="shared" si="167"/>
        <v>14.497608529791862</v>
      </c>
      <c r="G86" s="44">
        <v>18.5</v>
      </c>
      <c r="H86" s="8">
        <f t="shared" si="168"/>
        <v>58.23805185364478</v>
      </c>
      <c r="I86" s="8">
        <f t="shared" si="169"/>
        <v>19.688763058815553</v>
      </c>
      <c r="J86" s="1">
        <v>30</v>
      </c>
      <c r="K86" s="8">
        <f t="shared" si="170"/>
        <v>57.237122065491086</v>
      </c>
      <c r="L86" s="8">
        <f t="shared" si="171"/>
        <v>24.879917587839238</v>
      </c>
      <c r="M86" s="1">
        <v>30</v>
      </c>
      <c r="N86" s="8">
        <f t="shared" si="172"/>
        <v>56.272032541410574</v>
      </c>
      <c r="O86" s="8">
        <f t="shared" si="173"/>
        <v>30.07107211686293</v>
      </c>
      <c r="P86" s="1">
        <v>37</v>
      </c>
      <c r="Q86" s="8">
        <f t="shared" si="174"/>
        <v>55.3117111705872</v>
      </c>
      <c r="R86" s="8">
        <f t="shared" si="175"/>
        <v>35.26222664588662</v>
      </c>
      <c r="S86" s="1">
        <v>45</v>
      </c>
      <c r="T86" s="8">
        <f t="shared" si="176"/>
        <v>54.333382737728286</v>
      </c>
      <c r="U86" s="8">
        <f t="shared" si="177"/>
        <v>40.453381174910305</v>
      </c>
      <c r="V86" s="1">
        <v>45</v>
      </c>
      <c r="W86" s="8">
        <f t="shared" si="178"/>
        <v>53.31701721992203</v>
      </c>
      <c r="X86" s="8">
        <f t="shared" si="179"/>
        <v>45.644535703934</v>
      </c>
      <c r="Y86" s="1">
        <v>55</v>
      </c>
      <c r="Z86" s="8">
        <f t="shared" si="180"/>
        <v>52.242273658528454</v>
      </c>
      <c r="AA86" s="8">
        <f t="shared" si="181"/>
        <v>50.83569023295768</v>
      </c>
      <c r="AB86" s="1">
        <v>75</v>
      </c>
      <c r="AC86" s="8">
        <f t="shared" si="182"/>
        <v>51.08610196459486</v>
      </c>
      <c r="AD86" s="8">
        <f t="shared" si="183"/>
        <v>56.02684476198137</v>
      </c>
      <c r="AE86" s="1">
        <v>75</v>
      </c>
      <c r="AF86" s="6">
        <v>4</v>
      </c>
    </row>
    <row r="87" spans="1:32" ht="45" customHeight="1">
      <c r="A87" s="173"/>
      <c r="B87" s="186"/>
      <c r="C87" s="1">
        <v>1780</v>
      </c>
      <c r="D87" s="5">
        <f t="shared" si="165"/>
        <v>71.58216275709347</v>
      </c>
      <c r="E87" s="8">
        <f t="shared" si="166"/>
        <v>67.37123334933155</v>
      </c>
      <c r="F87" s="8">
        <f t="shared" si="167"/>
        <v>17.1486016904889</v>
      </c>
      <c r="G87" s="44">
        <v>22</v>
      </c>
      <c r="H87" s="8">
        <f t="shared" si="168"/>
        <v>66.28099148927326</v>
      </c>
      <c r="I87" s="8">
        <f t="shared" si="169"/>
        <v>22.996864387743436</v>
      </c>
      <c r="J87" s="1">
        <v>30</v>
      </c>
      <c r="K87" s="8">
        <f t="shared" si="170"/>
        <v>65.28006170111958</v>
      </c>
      <c r="L87" s="8">
        <f t="shared" si="171"/>
        <v>28.845127084997973</v>
      </c>
      <c r="M87" s="1">
        <v>37</v>
      </c>
      <c r="N87" s="8">
        <f t="shared" si="172"/>
        <v>64.31497217703905</v>
      </c>
      <c r="O87" s="8">
        <f t="shared" si="173"/>
        <v>34.69338978225251</v>
      </c>
      <c r="P87" s="1">
        <v>45</v>
      </c>
      <c r="Q87" s="8">
        <f t="shared" si="174"/>
        <v>63.35465080621569</v>
      </c>
      <c r="R87" s="8">
        <f t="shared" si="175"/>
        <v>40.54165247950704</v>
      </c>
      <c r="S87" s="1">
        <v>45</v>
      </c>
      <c r="T87" s="8">
        <f t="shared" si="176"/>
        <v>62.37632237335677</v>
      </c>
      <c r="U87" s="8">
        <f t="shared" si="177"/>
        <v>46.389915176761576</v>
      </c>
      <c r="V87" s="1">
        <v>55</v>
      </c>
      <c r="W87" s="8">
        <f t="shared" si="178"/>
        <v>61.359956855550514</v>
      </c>
      <c r="X87" s="8">
        <f t="shared" si="179"/>
        <v>52.23817787401612</v>
      </c>
      <c r="Y87" s="1">
        <v>75</v>
      </c>
      <c r="Z87" s="8">
        <f t="shared" si="180"/>
        <v>60.28521329415694</v>
      </c>
      <c r="AA87" s="8">
        <f t="shared" si="181"/>
        <v>58.086440571270664</v>
      </c>
      <c r="AB87" s="1">
        <v>75</v>
      </c>
      <c r="AC87" s="8">
        <f t="shared" si="182"/>
        <v>59.12904160022334</v>
      </c>
      <c r="AD87" s="8">
        <f t="shared" si="183"/>
        <v>63.93470326852519</v>
      </c>
      <c r="AE87" s="1">
        <v>75</v>
      </c>
      <c r="AF87" s="6">
        <v>4</v>
      </c>
    </row>
    <row r="88" spans="1:32" ht="45" customHeight="1">
      <c r="A88" s="173"/>
      <c r="B88" s="186"/>
      <c r="C88" s="1">
        <v>1880</v>
      </c>
      <c r="D88" s="5">
        <f t="shared" si="165"/>
        <v>75.6036325749077</v>
      </c>
      <c r="E88" s="8">
        <f t="shared" si="166"/>
        <v>71.39270316714578</v>
      </c>
      <c r="F88" s="8">
        <f t="shared" si="167"/>
        <v>18.556368796199244</v>
      </c>
      <c r="G88" s="44">
        <v>22</v>
      </c>
      <c r="H88" s="8">
        <f t="shared" si="168"/>
        <v>70.3024613070875</v>
      </c>
      <c r="I88" s="8">
        <f t="shared" si="169"/>
        <v>24.733185577569202</v>
      </c>
      <c r="J88" s="1">
        <v>30</v>
      </c>
      <c r="K88" s="8">
        <f t="shared" si="170"/>
        <v>69.30153151893381</v>
      </c>
      <c r="L88" s="8">
        <f t="shared" si="171"/>
        <v>30.910002358939167</v>
      </c>
      <c r="M88" s="1">
        <v>37</v>
      </c>
      <c r="N88" s="8">
        <f t="shared" si="172"/>
        <v>68.33644199485329</v>
      </c>
      <c r="O88" s="8">
        <f t="shared" si="173"/>
        <v>37.086819140309125</v>
      </c>
      <c r="P88" s="1">
        <v>45</v>
      </c>
      <c r="Q88" s="8">
        <f t="shared" si="174"/>
        <v>67.37612062402992</v>
      </c>
      <c r="R88" s="8">
        <f t="shared" si="175"/>
        <v>43.26363592167908</v>
      </c>
      <c r="S88" s="1">
        <v>55</v>
      </c>
      <c r="T88" s="8">
        <f t="shared" si="176"/>
        <v>66.397792191171</v>
      </c>
      <c r="U88" s="8">
        <f t="shared" si="177"/>
        <v>49.44045270304904</v>
      </c>
      <c r="V88" s="1">
        <v>55</v>
      </c>
      <c r="W88" s="8">
        <f t="shared" si="178"/>
        <v>65.38142667336474</v>
      </c>
      <c r="X88" s="8">
        <f t="shared" si="179"/>
        <v>55.617269484419005</v>
      </c>
      <c r="Y88" s="1">
        <v>75</v>
      </c>
      <c r="Z88" s="8">
        <f t="shared" si="180"/>
        <v>64.30668311197118</v>
      </c>
      <c r="AA88" s="8">
        <f t="shared" si="181"/>
        <v>61.79408626578897</v>
      </c>
      <c r="AB88" s="1">
        <v>75</v>
      </c>
      <c r="AC88" s="8">
        <f t="shared" si="182"/>
        <v>63.15051141803758</v>
      </c>
      <c r="AD88" s="8">
        <f t="shared" si="183"/>
        <v>67.97090304715891</v>
      </c>
      <c r="AE88" s="1">
        <v>90</v>
      </c>
      <c r="AF88" s="6">
        <v>4</v>
      </c>
    </row>
    <row r="89" spans="1:32" ht="45" customHeight="1">
      <c r="A89" s="173"/>
      <c r="B89" s="186"/>
      <c r="C89" s="1">
        <v>2000</v>
      </c>
      <c r="D89" s="5">
        <f t="shared" si="165"/>
        <v>80.4293963562848</v>
      </c>
      <c r="E89" s="8">
        <f t="shared" si="166"/>
        <v>76.21846694852286</v>
      </c>
      <c r="F89" s="8">
        <f t="shared" si="167"/>
        <v>20.320131218029516</v>
      </c>
      <c r="G89" s="44">
        <v>30</v>
      </c>
      <c r="H89" s="8">
        <f t="shared" si="168"/>
        <v>75.12822508846459</v>
      </c>
      <c r="I89" s="8">
        <f t="shared" si="169"/>
        <v>26.89121290033798</v>
      </c>
      <c r="J89" s="1">
        <v>37</v>
      </c>
      <c r="K89" s="8">
        <f t="shared" si="170"/>
        <v>74.1272953003109</v>
      </c>
      <c r="L89" s="8">
        <f t="shared" si="171"/>
        <v>33.46229458264645</v>
      </c>
      <c r="M89" s="1">
        <v>45</v>
      </c>
      <c r="N89" s="8">
        <f t="shared" si="172"/>
        <v>73.16220577623038</v>
      </c>
      <c r="O89" s="8">
        <f t="shared" si="173"/>
        <v>40.03337626495492</v>
      </c>
      <c r="P89" s="1">
        <v>45</v>
      </c>
      <c r="Q89" s="8">
        <f t="shared" si="174"/>
        <v>72.201884405407</v>
      </c>
      <c r="R89" s="8">
        <f t="shared" si="175"/>
        <v>46.604457947263384</v>
      </c>
      <c r="S89" s="1">
        <v>55</v>
      </c>
      <c r="T89" s="8">
        <f t="shared" si="176"/>
        <v>71.2235559725481</v>
      </c>
      <c r="U89" s="8">
        <f t="shared" si="177"/>
        <v>53.175539629571844</v>
      </c>
      <c r="V89" s="1">
        <v>75</v>
      </c>
      <c r="W89" s="8">
        <f t="shared" si="178"/>
        <v>70.20719045474183</v>
      </c>
      <c r="X89" s="8">
        <f t="shared" si="179"/>
        <v>59.746621311880325</v>
      </c>
      <c r="Y89" s="1">
        <v>75</v>
      </c>
      <c r="Z89" s="8">
        <f t="shared" si="180"/>
        <v>69.13244689334827</v>
      </c>
      <c r="AA89" s="8">
        <f t="shared" si="181"/>
        <v>66.31770299418879</v>
      </c>
      <c r="AB89" s="1">
        <v>75</v>
      </c>
      <c r="AC89" s="8">
        <f t="shared" si="182"/>
        <v>67.97627519941467</v>
      </c>
      <c r="AD89" s="8">
        <f t="shared" si="183"/>
        <v>72.88878467649725</v>
      </c>
      <c r="AE89" s="1">
        <v>90</v>
      </c>
      <c r="AF89" s="6">
        <v>4</v>
      </c>
    </row>
    <row r="90" spans="1:32" ht="45" customHeight="1">
      <c r="A90" s="173"/>
      <c r="B90" s="186"/>
      <c r="C90" s="1">
        <v>2100</v>
      </c>
      <c r="D90" s="5">
        <f t="shared" si="165"/>
        <v>84.45086617409903</v>
      </c>
      <c r="E90" s="8">
        <f t="shared" si="166"/>
        <v>80.23993676633711</v>
      </c>
      <c r="F90" s="8">
        <f t="shared" si="167"/>
        <v>21.85320902791242</v>
      </c>
      <c r="G90" s="44">
        <v>30</v>
      </c>
      <c r="H90" s="8">
        <f t="shared" si="168"/>
        <v>79.14969490627881</v>
      </c>
      <c r="I90" s="8">
        <f t="shared" si="169"/>
        <v>28.752844794336312</v>
      </c>
      <c r="J90" s="1">
        <v>37</v>
      </c>
      <c r="K90" s="8">
        <f t="shared" si="170"/>
        <v>78.14876511812514</v>
      </c>
      <c r="L90" s="8">
        <f t="shared" si="171"/>
        <v>35.6524805607602</v>
      </c>
      <c r="M90" s="1">
        <v>45</v>
      </c>
      <c r="N90" s="8">
        <f t="shared" si="172"/>
        <v>77.18367559404462</v>
      </c>
      <c r="O90" s="8">
        <f t="shared" si="173"/>
        <v>42.552116327184095</v>
      </c>
      <c r="P90" s="1">
        <v>55</v>
      </c>
      <c r="Q90" s="8">
        <f t="shared" si="174"/>
        <v>76.22335422322125</v>
      </c>
      <c r="R90" s="8">
        <f t="shared" si="175"/>
        <v>49.451752093607986</v>
      </c>
      <c r="S90" s="1">
        <v>55</v>
      </c>
      <c r="T90" s="8">
        <f t="shared" si="176"/>
        <v>75.24502579036233</v>
      </c>
      <c r="U90" s="8">
        <f t="shared" si="177"/>
        <v>56.35138786003187</v>
      </c>
      <c r="V90" s="1">
        <v>75</v>
      </c>
      <c r="W90" s="8">
        <f t="shared" si="178"/>
        <v>74.22866027255608</v>
      </c>
      <c r="X90" s="8">
        <f t="shared" si="179"/>
        <v>63.25102362645577</v>
      </c>
      <c r="Y90" s="1">
        <v>75</v>
      </c>
      <c r="Z90" s="8">
        <f t="shared" si="180"/>
        <v>73.15391671116251</v>
      </c>
      <c r="AA90" s="8">
        <f t="shared" si="181"/>
        <v>70.15065939287966</v>
      </c>
      <c r="AB90" s="1">
        <v>90</v>
      </c>
      <c r="AC90" s="8">
        <f t="shared" si="182"/>
        <v>71.99774501722891</v>
      </c>
      <c r="AD90" s="8">
        <f t="shared" si="183"/>
        <v>77.05029515930356</v>
      </c>
      <c r="AE90" s="1">
        <v>90</v>
      </c>
      <c r="AF90" s="6">
        <v>4</v>
      </c>
    </row>
    <row r="91" spans="1:32" ht="45" customHeight="1">
      <c r="A91" s="184"/>
      <c r="B91" s="187"/>
      <c r="C91" s="7">
        <v>2250</v>
      </c>
      <c r="D91" s="12">
        <f t="shared" si="165"/>
        <v>90.4830709008204</v>
      </c>
      <c r="E91" s="20">
        <f t="shared" si="166"/>
        <v>86.27214149305848</v>
      </c>
      <c r="F91" s="20">
        <f t="shared" si="167"/>
        <v>24.26303761565078</v>
      </c>
      <c r="G91" s="46">
        <v>30</v>
      </c>
      <c r="H91" s="20">
        <f t="shared" si="168"/>
        <v>85.18189963300017</v>
      </c>
      <c r="I91" s="20">
        <f t="shared" si="169"/>
        <v>31.6555045082478</v>
      </c>
      <c r="J91" s="7">
        <v>37</v>
      </c>
      <c r="K91" s="20">
        <f t="shared" si="170"/>
        <v>84.1809698448465</v>
      </c>
      <c r="L91" s="20">
        <f t="shared" si="171"/>
        <v>39.04797140084484</v>
      </c>
      <c r="M91" s="7">
        <v>45</v>
      </c>
      <c r="N91" s="20">
        <f t="shared" si="172"/>
        <v>83.21588032076599</v>
      </c>
      <c r="O91" s="20">
        <f t="shared" si="173"/>
        <v>46.44043829344185</v>
      </c>
      <c r="P91" s="7">
        <v>55</v>
      </c>
      <c r="Q91" s="20">
        <f t="shared" si="174"/>
        <v>82.25555894994261</v>
      </c>
      <c r="R91" s="20">
        <f t="shared" si="175"/>
        <v>53.83290518603887</v>
      </c>
      <c r="S91" s="7">
        <v>75</v>
      </c>
      <c r="T91" s="20">
        <f t="shared" si="176"/>
        <v>81.2772305170837</v>
      </c>
      <c r="U91" s="20">
        <f t="shared" si="177"/>
        <v>61.2253720786359</v>
      </c>
      <c r="V91" s="7">
        <v>75</v>
      </c>
      <c r="W91" s="20">
        <f t="shared" si="178"/>
        <v>80.26086499927744</v>
      </c>
      <c r="X91" s="20">
        <f t="shared" si="179"/>
        <v>68.61783897123294</v>
      </c>
      <c r="Y91" s="7">
        <v>90</v>
      </c>
      <c r="Z91" s="20">
        <f t="shared" si="180"/>
        <v>79.18612143788387</v>
      </c>
      <c r="AA91" s="20">
        <f t="shared" si="181"/>
        <v>76.01030586382997</v>
      </c>
      <c r="AB91" s="7">
        <v>90</v>
      </c>
      <c r="AC91" s="20">
        <f t="shared" si="182"/>
        <v>78.02994974395027</v>
      </c>
      <c r="AD91" s="20">
        <f t="shared" si="183"/>
        <v>83.40277275642698</v>
      </c>
      <c r="AE91" s="7">
        <v>110</v>
      </c>
      <c r="AF91" s="13">
        <v>4</v>
      </c>
    </row>
    <row r="92" spans="1:32" ht="45" customHeight="1">
      <c r="A92" s="183" t="s">
        <v>50</v>
      </c>
      <c r="B92" s="185">
        <v>250</v>
      </c>
      <c r="C92" s="2">
        <v>1250</v>
      </c>
      <c r="D92" s="11">
        <f aca="true" t="shared" si="184" ref="D92:D99">PI()/2*0.526*POWER(0.312,2)*0.7*C92</f>
        <v>70.37572181174919</v>
      </c>
      <c r="E92" s="21">
        <f aca="true" t="shared" si="185" ref="E92:E99">(C92-295*SQRT(101.325/(101.325-9.8)-1))*D92/C92</f>
        <v>64.94099104485646</v>
      </c>
      <c r="F92" s="21">
        <f aca="true" t="shared" si="186" ref="F92:F99">D92*9.8/98*1.634*1+3.1*POWER(C92/1200,2.5)</f>
        <v>14.932470473439707</v>
      </c>
      <c r="G92" s="43">
        <v>18.5</v>
      </c>
      <c r="H92" s="21">
        <f aca="true" t="shared" si="187" ref="H92:H99">(C92-295*SQRT(101.325/(101.325-14.7)-1))*D92/C92</f>
        <v>63.53389764421872</v>
      </c>
      <c r="I92" s="21">
        <f aca="true" t="shared" si="188" ref="I92:I99">D92*14.7/98*1.634*1+3.1*POWER(C92/1200,2.5)</f>
        <v>20.682166945459617</v>
      </c>
      <c r="J92" s="2">
        <v>30</v>
      </c>
      <c r="K92" s="21">
        <f aca="true" t="shared" si="189" ref="K92:K99">(C92-295*SQRT(101.325/(101.325-19.6)-1))*D92/C92</f>
        <v>62.24207263638287</v>
      </c>
      <c r="L92" s="21">
        <f aca="true" t="shared" si="190" ref="L92:L99">D92*19.6/98*1.634*1+3.1*POWER(C92/1200,2.5)</f>
        <v>26.431863417479526</v>
      </c>
      <c r="M92" s="2">
        <v>30</v>
      </c>
      <c r="N92" s="21">
        <f aca="true" t="shared" si="191" ref="N92:N99">(C92-295*SQRT(101.325/(101.325-24.5)-1))*D92/C92</f>
        <v>60.996503969366465</v>
      </c>
      <c r="O92" s="21">
        <f aca="true" t="shared" si="192" ref="O92:O99">D92*24.5/98*1.634*1+3.1*POWER(C92/1200,2.5)</f>
        <v>32.18155988949943</v>
      </c>
      <c r="P92" s="2">
        <v>37</v>
      </c>
      <c r="Q92" s="21">
        <f aca="true" t="shared" si="193" ref="Q92:Q99">(C92-295*SQRT(101.325/(101.325-29.4)-1))*D92/C92</f>
        <v>59.75708920014755</v>
      </c>
      <c r="R92" s="21">
        <f aca="true" t="shared" si="194" ref="R92:R99">D92*29.4/98*1.634*1+3.1*POWER(C92/1200,2.5)</f>
        <v>37.93125636151934</v>
      </c>
      <c r="S92" s="2">
        <v>45</v>
      </c>
      <c r="T92" s="21">
        <f aca="true" t="shared" si="195" ref="T92:T99">(C92-295*SQRT(101.325/(101.325-34.3)-1))*D92/C92</f>
        <v>58.49443406648901</v>
      </c>
      <c r="U92" s="21">
        <f aca="true" t="shared" si="196" ref="U92:U99">D92*34.3/98*1.634*1+3.1*POWER(C92/1200,2.5)</f>
        <v>43.680952833539244</v>
      </c>
      <c r="V92" s="2">
        <v>55</v>
      </c>
      <c r="W92" s="21">
        <f aca="true" t="shared" si="197" ref="W92:W99">(C92-295*SQRT(101.325/(101.325-39.2)-1))*D92/C92</f>
        <v>57.18268732007031</v>
      </c>
      <c r="X92" s="21">
        <f aca="true" t="shared" si="198" ref="X92:X99">D92*39.2/98*1.634*1+3.1*POWER(C92/1200,2.5)</f>
        <v>49.43064930555916</v>
      </c>
      <c r="Y92" s="2">
        <v>55</v>
      </c>
      <c r="Z92" s="21">
        <f aca="true" t="shared" si="199" ref="Z92:Z99">(C92-295*SQRT(101.325/(101.325-44.1)-1))*D92/C92</f>
        <v>55.79559641114673</v>
      </c>
      <c r="AA92" s="21">
        <f aca="true" t="shared" si="200" ref="AA92:AA99">D92*44.1/98*1.634*1+3.1*POWER(C92/1200,2.5)</f>
        <v>55.18034577757906</v>
      </c>
      <c r="AB92" s="2">
        <v>75</v>
      </c>
      <c r="AC92" s="21">
        <f aca="true" t="shared" si="201" ref="AC92:AC99">(C92-295*SQRT(101.325/(101.325-49)-1))*D92/C92</f>
        <v>54.30341231866368</v>
      </c>
      <c r="AD92" s="21">
        <f aca="true" t="shared" si="202" ref="AD92:AD99">D92*49/98*1.634*1+3.1*POWER(C92/1200,2.5)</f>
        <v>60.93004224959897</v>
      </c>
      <c r="AE92" s="2">
        <v>75</v>
      </c>
      <c r="AF92" s="9">
        <v>4</v>
      </c>
    </row>
    <row r="93" spans="1:32" ht="45" customHeight="1">
      <c r="A93" s="173"/>
      <c r="B93" s="186"/>
      <c r="C93" s="1">
        <v>1420</v>
      </c>
      <c r="D93" s="5">
        <f t="shared" si="184"/>
        <v>79.94681997814708</v>
      </c>
      <c r="E93" s="8">
        <f t="shared" si="185"/>
        <v>74.51208921125433</v>
      </c>
      <c r="F93" s="8">
        <f t="shared" si="186"/>
        <v>17.78534797111243</v>
      </c>
      <c r="G93" s="44">
        <v>22</v>
      </c>
      <c r="H93" s="8">
        <f t="shared" si="187"/>
        <v>73.10499581061661</v>
      </c>
      <c r="I93" s="8">
        <f t="shared" si="188"/>
        <v>24.317003163327044</v>
      </c>
      <c r="J93" s="1">
        <v>30</v>
      </c>
      <c r="K93" s="8">
        <f t="shared" si="189"/>
        <v>71.81317080278076</v>
      </c>
      <c r="L93" s="8">
        <f t="shared" si="190"/>
        <v>30.848658355541662</v>
      </c>
      <c r="M93" s="1">
        <v>37</v>
      </c>
      <c r="N93" s="8">
        <f t="shared" si="191"/>
        <v>70.56760213576435</v>
      </c>
      <c r="O93" s="8">
        <f t="shared" si="192"/>
        <v>37.38031354775627</v>
      </c>
      <c r="P93" s="1">
        <v>45</v>
      </c>
      <c r="Q93" s="8">
        <f t="shared" si="193"/>
        <v>69.32818736654544</v>
      </c>
      <c r="R93" s="8">
        <f t="shared" si="194"/>
        <v>43.91196873997089</v>
      </c>
      <c r="S93" s="1">
        <v>55</v>
      </c>
      <c r="T93" s="8">
        <f t="shared" si="195"/>
        <v>68.0655322328869</v>
      </c>
      <c r="U93" s="8">
        <f t="shared" si="196"/>
        <v>50.4436239321855</v>
      </c>
      <c r="V93" s="1">
        <v>75</v>
      </c>
      <c r="W93" s="8">
        <f t="shared" si="197"/>
        <v>66.75378548646819</v>
      </c>
      <c r="X93" s="8">
        <f t="shared" si="198"/>
        <v>56.97527912440013</v>
      </c>
      <c r="Y93" s="1">
        <v>75</v>
      </c>
      <c r="Z93" s="8">
        <f t="shared" si="199"/>
        <v>65.36669457754462</v>
      </c>
      <c r="AA93" s="8">
        <f t="shared" si="200"/>
        <v>63.506934316614746</v>
      </c>
      <c r="AB93" s="1">
        <v>75</v>
      </c>
      <c r="AC93" s="8">
        <f t="shared" si="201"/>
        <v>63.87451048506157</v>
      </c>
      <c r="AD93" s="8">
        <f t="shared" si="202"/>
        <v>70.03858950882936</v>
      </c>
      <c r="AE93" s="1">
        <v>90</v>
      </c>
      <c r="AF93" s="6">
        <v>4</v>
      </c>
    </row>
    <row r="94" spans="1:32" ht="45" customHeight="1">
      <c r="A94" s="173"/>
      <c r="B94" s="186"/>
      <c r="C94" s="1">
        <v>1580</v>
      </c>
      <c r="D94" s="5">
        <f t="shared" si="184"/>
        <v>88.95491237005098</v>
      </c>
      <c r="E94" s="8">
        <f t="shared" si="185"/>
        <v>83.52018160315824</v>
      </c>
      <c r="F94" s="8">
        <f t="shared" si="186"/>
        <v>20.70191102568199</v>
      </c>
      <c r="G94" s="44">
        <v>30</v>
      </c>
      <c r="H94" s="8">
        <f t="shared" si="187"/>
        <v>82.11308820252052</v>
      </c>
      <c r="I94" s="8">
        <f t="shared" si="188"/>
        <v>27.969527366315155</v>
      </c>
      <c r="J94" s="1">
        <v>37</v>
      </c>
      <c r="K94" s="8">
        <f t="shared" si="189"/>
        <v>80.82126319468468</v>
      </c>
      <c r="L94" s="8">
        <f t="shared" si="190"/>
        <v>35.23714370694832</v>
      </c>
      <c r="M94" s="1">
        <v>45</v>
      </c>
      <c r="N94" s="8">
        <f t="shared" si="191"/>
        <v>79.57569452766825</v>
      </c>
      <c r="O94" s="8">
        <f t="shared" si="192"/>
        <v>42.504760047581485</v>
      </c>
      <c r="P94" s="1">
        <v>55</v>
      </c>
      <c r="Q94" s="8">
        <f t="shared" si="193"/>
        <v>78.33627975844934</v>
      </c>
      <c r="R94" s="8">
        <f t="shared" si="194"/>
        <v>49.77237638821465</v>
      </c>
      <c r="S94" s="1">
        <v>75</v>
      </c>
      <c r="T94" s="8">
        <f t="shared" si="195"/>
        <v>77.0736246247908</v>
      </c>
      <c r="U94" s="8">
        <f t="shared" si="196"/>
        <v>57.039992728847814</v>
      </c>
      <c r="V94" s="1">
        <v>75</v>
      </c>
      <c r="W94" s="8">
        <f t="shared" si="197"/>
        <v>75.76187787837209</v>
      </c>
      <c r="X94" s="8">
        <f t="shared" si="198"/>
        <v>64.30760906948097</v>
      </c>
      <c r="Y94" s="1">
        <v>75</v>
      </c>
      <c r="Z94" s="8">
        <f t="shared" si="199"/>
        <v>74.37478696944852</v>
      </c>
      <c r="AA94" s="8">
        <f t="shared" si="200"/>
        <v>71.57522541011414</v>
      </c>
      <c r="AB94" s="1">
        <v>90</v>
      </c>
      <c r="AC94" s="8">
        <f t="shared" si="201"/>
        <v>72.88260287696548</v>
      </c>
      <c r="AD94" s="8">
        <f t="shared" si="202"/>
        <v>78.8428417507473</v>
      </c>
      <c r="AE94" s="1">
        <v>90</v>
      </c>
      <c r="AF94" s="6">
        <v>4</v>
      </c>
    </row>
    <row r="95" spans="1:32" ht="45" customHeight="1">
      <c r="A95" s="173"/>
      <c r="B95" s="186"/>
      <c r="C95" s="1">
        <v>1780</v>
      </c>
      <c r="D95" s="5">
        <f>PI()/2*0.526*POWER(0.312,2)*0.7*C95</f>
        <v>100.21502785993084</v>
      </c>
      <c r="E95" s="8">
        <f t="shared" si="185"/>
        <v>94.78029709303812</v>
      </c>
      <c r="F95" s="8">
        <f t="shared" si="186"/>
        <v>24.682410497041413</v>
      </c>
      <c r="G95" s="44">
        <v>30</v>
      </c>
      <c r="H95" s="8">
        <f t="shared" si="187"/>
        <v>93.37320369240038</v>
      </c>
      <c r="I95" s="8">
        <f t="shared" si="188"/>
        <v>32.86997827319776</v>
      </c>
      <c r="J95" s="1">
        <v>37</v>
      </c>
      <c r="K95" s="8">
        <f t="shared" si="189"/>
        <v>92.08137868456454</v>
      </c>
      <c r="L95" s="8">
        <f t="shared" si="190"/>
        <v>41.057546049354116</v>
      </c>
      <c r="M95" s="1">
        <v>55</v>
      </c>
      <c r="N95" s="8">
        <f t="shared" si="191"/>
        <v>90.83581001754811</v>
      </c>
      <c r="O95" s="8">
        <f t="shared" si="192"/>
        <v>49.24511382551046</v>
      </c>
      <c r="P95" s="1">
        <v>55</v>
      </c>
      <c r="Q95" s="8">
        <f t="shared" si="193"/>
        <v>89.5963952483292</v>
      </c>
      <c r="R95" s="8">
        <f t="shared" si="194"/>
        <v>57.4326816016668</v>
      </c>
      <c r="S95" s="1">
        <v>75</v>
      </c>
      <c r="T95" s="8">
        <f t="shared" si="195"/>
        <v>88.33374011467066</v>
      </c>
      <c r="U95" s="8">
        <f t="shared" si="196"/>
        <v>65.62024937782314</v>
      </c>
      <c r="V95" s="1">
        <v>75</v>
      </c>
      <c r="W95" s="8">
        <f t="shared" si="197"/>
        <v>87.02199336825197</v>
      </c>
      <c r="X95" s="8">
        <f t="shared" si="198"/>
        <v>73.80781715397953</v>
      </c>
      <c r="Y95" s="1">
        <v>90</v>
      </c>
      <c r="Z95" s="8">
        <f t="shared" si="199"/>
        <v>85.63490245932839</v>
      </c>
      <c r="AA95" s="8">
        <f t="shared" si="200"/>
        <v>81.99538493013586</v>
      </c>
      <c r="AB95" s="1">
        <v>90</v>
      </c>
      <c r="AC95" s="8">
        <f t="shared" si="201"/>
        <v>84.14271836684534</v>
      </c>
      <c r="AD95" s="8">
        <f t="shared" si="202"/>
        <v>90.18295270629221</v>
      </c>
      <c r="AE95" s="1">
        <v>110</v>
      </c>
      <c r="AF95" s="6">
        <v>4</v>
      </c>
    </row>
    <row r="96" spans="1:32" ht="45" customHeight="1">
      <c r="A96" s="173"/>
      <c r="B96" s="186"/>
      <c r="C96" s="1">
        <v>1880</v>
      </c>
      <c r="D96" s="5">
        <f>PI()/2*0.526*POWER(0.312,2)*0.7*C96</f>
        <v>105.84508560487077</v>
      </c>
      <c r="E96" s="8">
        <f t="shared" si="185"/>
        <v>100.41035483797805</v>
      </c>
      <c r="F96" s="8">
        <f t="shared" si="186"/>
        <v>26.818732063410383</v>
      </c>
      <c r="G96" s="44">
        <v>37</v>
      </c>
      <c r="H96" s="8">
        <f t="shared" si="187"/>
        <v>99.00326143734031</v>
      </c>
      <c r="I96" s="8">
        <f t="shared" si="188"/>
        <v>35.46627555732833</v>
      </c>
      <c r="J96" s="1">
        <v>45</v>
      </c>
      <c r="K96" s="8">
        <f t="shared" si="189"/>
        <v>97.71143642950447</v>
      </c>
      <c r="L96" s="8">
        <f t="shared" si="190"/>
        <v>44.11381905124627</v>
      </c>
      <c r="M96" s="1">
        <v>55</v>
      </c>
      <c r="N96" s="8">
        <f t="shared" si="191"/>
        <v>96.46586776248805</v>
      </c>
      <c r="O96" s="8">
        <f t="shared" si="192"/>
        <v>52.76136254516421</v>
      </c>
      <c r="P96" s="1">
        <v>75</v>
      </c>
      <c r="Q96" s="8">
        <f t="shared" si="193"/>
        <v>95.22645299326912</v>
      </c>
      <c r="R96" s="8">
        <f t="shared" si="194"/>
        <v>61.408906039082154</v>
      </c>
      <c r="S96" s="1">
        <v>75</v>
      </c>
      <c r="T96" s="8">
        <f t="shared" si="195"/>
        <v>93.9637978596106</v>
      </c>
      <c r="U96" s="8">
        <f t="shared" si="196"/>
        <v>70.05644953300009</v>
      </c>
      <c r="V96" s="1">
        <v>90</v>
      </c>
      <c r="W96" s="8">
        <f t="shared" si="197"/>
        <v>92.6520511131919</v>
      </c>
      <c r="X96" s="8">
        <f t="shared" si="198"/>
        <v>78.70399302691803</v>
      </c>
      <c r="Y96" s="1">
        <v>90</v>
      </c>
      <c r="Z96" s="8">
        <f t="shared" si="199"/>
        <v>91.26496020426832</v>
      </c>
      <c r="AA96" s="8">
        <f t="shared" si="200"/>
        <v>87.35153652083599</v>
      </c>
      <c r="AB96" s="1">
        <v>110</v>
      </c>
      <c r="AC96" s="8">
        <f t="shared" si="201"/>
        <v>89.77277611178528</v>
      </c>
      <c r="AD96" s="8">
        <f t="shared" si="202"/>
        <v>95.99908001475393</v>
      </c>
      <c r="AE96" s="1">
        <v>110</v>
      </c>
      <c r="AF96" s="6">
        <v>4</v>
      </c>
    </row>
    <row r="97" spans="1:32" ht="45" customHeight="1">
      <c r="A97" s="173"/>
      <c r="B97" s="186"/>
      <c r="C97" s="1">
        <v>2000</v>
      </c>
      <c r="D97" s="5">
        <f t="shared" si="184"/>
        <v>112.6011548987987</v>
      </c>
      <c r="E97" s="41">
        <f t="shared" si="185"/>
        <v>107.16642413190597</v>
      </c>
      <c r="F97" s="8">
        <f t="shared" si="186"/>
        <v>29.515925352355367</v>
      </c>
      <c r="G97" s="44">
        <v>37</v>
      </c>
      <c r="H97" s="41">
        <f t="shared" si="187"/>
        <v>105.75933073126824</v>
      </c>
      <c r="I97" s="8">
        <f t="shared" si="188"/>
        <v>38.715439707587215</v>
      </c>
      <c r="J97" s="1">
        <v>45</v>
      </c>
      <c r="K97" s="41">
        <f t="shared" si="189"/>
        <v>104.4675057234324</v>
      </c>
      <c r="L97" s="8">
        <f t="shared" si="190"/>
        <v>47.91495406281908</v>
      </c>
      <c r="M97" s="1">
        <v>55</v>
      </c>
      <c r="N97" s="41">
        <f t="shared" si="191"/>
        <v>103.22193705641598</v>
      </c>
      <c r="O97" s="8">
        <f t="shared" si="192"/>
        <v>57.11446841805092</v>
      </c>
      <c r="P97" s="1">
        <v>75</v>
      </c>
      <c r="Q97" s="41">
        <f t="shared" si="193"/>
        <v>101.98252228719706</v>
      </c>
      <c r="R97" s="8">
        <f t="shared" si="194"/>
        <v>66.31398277328277</v>
      </c>
      <c r="S97" s="1">
        <v>75</v>
      </c>
      <c r="T97" s="41">
        <f t="shared" si="195"/>
        <v>100.71986715353852</v>
      </c>
      <c r="U97" s="8">
        <f t="shared" si="196"/>
        <v>75.51349712851462</v>
      </c>
      <c r="V97" s="1">
        <v>90</v>
      </c>
      <c r="W97" s="8">
        <f t="shared" si="197"/>
        <v>99.40812040711981</v>
      </c>
      <c r="X97" s="8">
        <f t="shared" si="198"/>
        <v>84.71301148374648</v>
      </c>
      <c r="Y97" s="1">
        <v>110</v>
      </c>
      <c r="Z97" s="8">
        <f t="shared" si="199"/>
        <v>98.02102949819626</v>
      </c>
      <c r="AA97" s="8">
        <f t="shared" si="200"/>
        <v>93.91252583897834</v>
      </c>
      <c r="AB97" s="1">
        <v>110</v>
      </c>
      <c r="AC97" s="8">
        <f t="shared" si="201"/>
        <v>96.52884540571318</v>
      </c>
      <c r="AD97" s="41">
        <f t="shared" si="202"/>
        <v>103.11204019421018</v>
      </c>
      <c r="AE97" s="1">
        <v>132</v>
      </c>
      <c r="AF97" s="6">
        <v>4</v>
      </c>
    </row>
    <row r="98" spans="1:32" ht="45" customHeight="1">
      <c r="A98" s="173"/>
      <c r="B98" s="186"/>
      <c r="C98" s="1">
        <v>2100</v>
      </c>
      <c r="D98" s="5">
        <f t="shared" si="184"/>
        <v>118.23121264373863</v>
      </c>
      <c r="E98" s="41">
        <f t="shared" si="185"/>
        <v>112.7964818768459</v>
      </c>
      <c r="F98" s="8">
        <f t="shared" si="186"/>
        <v>31.878030900696622</v>
      </c>
      <c r="G98" s="44">
        <v>37</v>
      </c>
      <c r="H98" s="41">
        <f t="shared" si="187"/>
        <v>111.38938847620817</v>
      </c>
      <c r="I98" s="8">
        <f t="shared" si="188"/>
        <v>41.537520973690064</v>
      </c>
      <c r="J98" s="1">
        <v>55</v>
      </c>
      <c r="K98" s="41">
        <f t="shared" si="189"/>
        <v>110.09756346837233</v>
      </c>
      <c r="L98" s="8">
        <f t="shared" si="190"/>
        <v>51.19701104668352</v>
      </c>
      <c r="M98" s="1">
        <v>75</v>
      </c>
      <c r="N98" s="41">
        <f t="shared" si="191"/>
        <v>108.8519948013559</v>
      </c>
      <c r="O98" s="8">
        <f t="shared" si="192"/>
        <v>60.856501119676956</v>
      </c>
      <c r="P98" s="1">
        <v>75</v>
      </c>
      <c r="Q98" s="41">
        <f t="shared" si="193"/>
        <v>107.61258003213699</v>
      </c>
      <c r="R98" s="8">
        <f t="shared" si="194"/>
        <v>70.5159911926704</v>
      </c>
      <c r="S98" s="1">
        <v>90</v>
      </c>
      <c r="T98" s="41">
        <f t="shared" si="195"/>
        <v>106.34992489847845</v>
      </c>
      <c r="U98" s="8">
        <f t="shared" si="196"/>
        <v>80.17548126566385</v>
      </c>
      <c r="V98" s="1">
        <v>90</v>
      </c>
      <c r="W98" s="8">
        <f t="shared" si="197"/>
        <v>105.03817815205974</v>
      </c>
      <c r="X98" s="8">
        <f t="shared" si="198"/>
        <v>89.83497133865731</v>
      </c>
      <c r="Y98" s="1">
        <v>110</v>
      </c>
      <c r="Z98" s="8">
        <f t="shared" si="199"/>
        <v>103.65108724313617</v>
      </c>
      <c r="AA98" s="8">
        <f t="shared" si="200"/>
        <v>99.49446141165075</v>
      </c>
      <c r="AB98" s="1">
        <v>110</v>
      </c>
      <c r="AC98" s="8">
        <f t="shared" si="201"/>
        <v>102.15890315065313</v>
      </c>
      <c r="AD98" s="41">
        <f t="shared" si="202"/>
        <v>109.15395148464418</v>
      </c>
      <c r="AE98" s="1">
        <v>132</v>
      </c>
      <c r="AF98" s="6">
        <v>4</v>
      </c>
    </row>
    <row r="99" spans="1:32" ht="45" customHeight="1">
      <c r="A99" s="184"/>
      <c r="B99" s="187"/>
      <c r="C99" s="7">
        <v>2250</v>
      </c>
      <c r="D99" s="12">
        <f t="shared" si="184"/>
        <v>126.67629926114853</v>
      </c>
      <c r="E99" s="39">
        <f t="shared" si="185"/>
        <v>121.24156849425582</v>
      </c>
      <c r="F99" s="20">
        <f t="shared" si="186"/>
        <v>35.62220745004719</v>
      </c>
      <c r="G99" s="46">
        <v>45</v>
      </c>
      <c r="H99" s="39">
        <f t="shared" si="187"/>
        <v>119.83447509361808</v>
      </c>
      <c r="I99" s="20">
        <f t="shared" si="188"/>
        <v>45.971661099683025</v>
      </c>
      <c r="J99" s="7">
        <v>55</v>
      </c>
      <c r="K99" s="39">
        <f t="shared" si="189"/>
        <v>118.54265008578221</v>
      </c>
      <c r="L99" s="20">
        <f t="shared" si="190"/>
        <v>56.321114749318866</v>
      </c>
      <c r="M99" s="7">
        <v>75</v>
      </c>
      <c r="N99" s="39">
        <f t="shared" si="191"/>
        <v>117.29708141876579</v>
      </c>
      <c r="O99" s="20">
        <f t="shared" si="192"/>
        <v>66.67056839895469</v>
      </c>
      <c r="P99" s="7">
        <v>75</v>
      </c>
      <c r="Q99" s="39">
        <f t="shared" si="193"/>
        <v>116.05766664954689</v>
      </c>
      <c r="R99" s="20">
        <f t="shared" si="194"/>
        <v>77.02002204859053</v>
      </c>
      <c r="S99" s="7">
        <v>90</v>
      </c>
      <c r="T99" s="39">
        <f t="shared" si="195"/>
        <v>114.79501151588835</v>
      </c>
      <c r="U99" s="20">
        <f t="shared" si="196"/>
        <v>87.36947569822635</v>
      </c>
      <c r="V99" s="7">
        <v>110</v>
      </c>
      <c r="W99" s="39">
        <f t="shared" si="197"/>
        <v>113.48326476946964</v>
      </c>
      <c r="X99" s="20">
        <f t="shared" si="198"/>
        <v>97.7189293478622</v>
      </c>
      <c r="Y99" s="7">
        <v>110</v>
      </c>
      <c r="Z99" s="39">
        <f t="shared" si="199"/>
        <v>112.09617386054607</v>
      </c>
      <c r="AA99" s="39">
        <f t="shared" si="200"/>
        <v>108.06838299749802</v>
      </c>
      <c r="AB99" s="7">
        <v>132</v>
      </c>
      <c r="AC99" s="39">
        <f t="shared" si="201"/>
        <v>110.60398976806303</v>
      </c>
      <c r="AD99" s="39">
        <f t="shared" si="202"/>
        <v>118.41783664713385</v>
      </c>
      <c r="AE99" s="7">
        <v>132</v>
      </c>
      <c r="AF99" s="13">
        <v>4</v>
      </c>
    </row>
    <row r="100" spans="1:32" ht="45" customHeight="1">
      <c r="A100" s="183" t="s">
        <v>51</v>
      </c>
      <c r="B100" s="185">
        <v>300</v>
      </c>
      <c r="C100" s="2">
        <v>980</v>
      </c>
      <c r="D100" s="11">
        <f>PI()/2*0.526*POWER(0.405,2)*0.65*C100</f>
        <v>86.3286799051337</v>
      </c>
      <c r="E100" s="21">
        <f>(C100-250*SQRT(101.325/(101.325-9.8)-1))*D100/C100</f>
        <v>79.12238216094978</v>
      </c>
      <c r="F100" s="21">
        <f>D100*9.8/98*1.634*1+4*POWER(C100/950,2.25)</f>
        <v>18.39594091627217</v>
      </c>
      <c r="G100" s="43">
        <v>22</v>
      </c>
      <c r="H100" s="21">
        <f>(C100-250*SQRT(101.325/(101.325-14.7)-1))*D100/C100</f>
        <v>77.25661650782081</v>
      </c>
      <c r="I100" s="21">
        <f>D100*14.7/98*1.634*1+4*POWER(C100/950,2.25)</f>
        <v>25.448994064521592</v>
      </c>
      <c r="J100" s="2">
        <v>30</v>
      </c>
      <c r="K100" s="21">
        <f>(C100-250*SQRT(101.325/(101.325-19.6)-1))*D100/C100</f>
        <v>75.54369345070121</v>
      </c>
      <c r="L100" s="21">
        <f>D100*19.6/98*1.634*1+4*POWER(C100/950,2.25)</f>
        <v>32.50204721277102</v>
      </c>
      <c r="M100" s="2">
        <v>45</v>
      </c>
      <c r="N100" s="21">
        <f>(C100-250*SQRT(101.325/(101.325-24.5)-1))*D100/C100</f>
        <v>73.89210498011381</v>
      </c>
      <c r="O100" s="21">
        <f>D100*24.5/98*1.634*1+4*POWER(C100/950,2.25)</f>
        <v>39.555100361020436</v>
      </c>
      <c r="P100" s="2">
        <v>45</v>
      </c>
      <c r="Q100" s="21">
        <f>(C100-250*SQRT(101.325/(101.325-29.4)-1))*D100/C100</f>
        <v>72.24867640220893</v>
      </c>
      <c r="R100" s="21">
        <f>D100*29.4/98*1.634*1+4*POWER(C100/950,2.25)</f>
        <v>46.608153509269854</v>
      </c>
      <c r="S100" s="2">
        <v>55</v>
      </c>
      <c r="T100" s="21">
        <f>(C100-250*SQRT(101.325/(101.325-34.3)-1))*D100/C100</f>
        <v>70.57443176495929</v>
      </c>
      <c r="U100" s="21">
        <f>D100*34.3/98*1.634*1+4*POWER(C100/950,2.25)</f>
        <v>53.66120665751928</v>
      </c>
      <c r="V100" s="2">
        <v>75</v>
      </c>
      <c r="W100" s="21">
        <f>(C100-250*SQRT(101.325/(101.325-39.2)-1))*D100/C100</f>
        <v>68.83509305157858</v>
      </c>
      <c r="X100" s="21">
        <f>D100*39.2/98*1.634*1+4*POWER(C100/950,2.25)</f>
        <v>60.714259805768705</v>
      </c>
      <c r="Y100" s="2">
        <v>75</v>
      </c>
      <c r="Z100" s="21">
        <f>(C100-250*SQRT(101.325/(101.325-44.1)-1))*D100/C100</f>
        <v>66.99585013105596</v>
      </c>
      <c r="AA100" s="42">
        <f>D100*44.1/98*1.634*1+4*POWER(C100/950,2.25)</f>
        <v>67.76731295401812</v>
      </c>
      <c r="AB100" s="2">
        <v>90</v>
      </c>
      <c r="AC100" s="21">
        <f>(C100-250*SQRT(101.325/(101.325-49)-1))*D100/C100</f>
        <v>65.0172566513065</v>
      </c>
      <c r="AD100" s="42">
        <f>D100*49/98*1.634*1+4*POWER(C100/950,2.25)</f>
        <v>74.82036610226756</v>
      </c>
      <c r="AE100" s="2">
        <v>90</v>
      </c>
      <c r="AF100" s="9">
        <v>4</v>
      </c>
    </row>
    <row r="101" spans="1:32" ht="45" customHeight="1">
      <c r="A101" s="173"/>
      <c r="B101" s="186"/>
      <c r="C101" s="1">
        <v>1120</v>
      </c>
      <c r="D101" s="5">
        <f aca="true" t="shared" si="203" ref="D101:D107">PI()/2*0.526*POWER(0.405,2)*0.65*C101</f>
        <v>98.66134846300994</v>
      </c>
      <c r="E101" s="8">
        <f aca="true" t="shared" si="204" ref="E101:E107">(C101-250*SQRT(101.325/(101.325-9.8)-1))*D101/C101</f>
        <v>91.45505071882603</v>
      </c>
      <c r="F101" s="8">
        <f aca="true" t="shared" si="205" ref="F101:F107">D101*9.8/98*1.634*1+4*POWER(C101/950,2.25)</f>
        <v>21.91451647492472</v>
      </c>
      <c r="G101" s="44">
        <v>30</v>
      </c>
      <c r="H101" s="8">
        <f aca="true" t="shared" si="206" ref="H101:H107">(C101-250*SQRT(101.325/(101.325-14.7)-1))*D101/C101</f>
        <v>89.58928506569706</v>
      </c>
      <c r="I101" s="8">
        <f aca="true" t="shared" si="207" ref="I101:I107">D101*14.7/98*1.634*1+4*POWER(C101/950,2.25)</f>
        <v>29.975148644352632</v>
      </c>
      <c r="J101" s="1">
        <v>37</v>
      </c>
      <c r="K101" s="8">
        <f aca="true" t="shared" si="208" ref="K101:K107">(C101-250*SQRT(101.325/(101.325-19.6)-1))*D101/C101</f>
        <v>87.87636200857746</v>
      </c>
      <c r="L101" s="8">
        <f aca="true" t="shared" si="209" ref="L101:L107">D101*19.6/98*1.634*1+4*POWER(C101/950,2.25)</f>
        <v>38.03578081378055</v>
      </c>
      <c r="M101" s="1">
        <v>45</v>
      </c>
      <c r="N101" s="8">
        <f aca="true" t="shared" si="210" ref="N101:N107">(C101-250*SQRT(101.325/(101.325-24.5)-1))*D101/C101</f>
        <v>86.22477353799006</v>
      </c>
      <c r="O101" s="8">
        <f aca="true" t="shared" si="211" ref="O101:O107">D101*24.5/98*1.634*1+4*POWER(C101/950,2.25)</f>
        <v>46.09641298320845</v>
      </c>
      <c r="P101" s="1">
        <v>55</v>
      </c>
      <c r="Q101" s="8">
        <f aca="true" t="shared" si="212" ref="Q101:Q107">(C101-250*SQRT(101.325/(101.325-29.4)-1))*D101/C101</f>
        <v>84.58134496008516</v>
      </c>
      <c r="R101" s="8">
        <f aca="true" t="shared" si="213" ref="R101:R107">D101*29.4/98*1.634*1+4*POWER(C101/950,2.25)</f>
        <v>54.15704515263637</v>
      </c>
      <c r="S101" s="1">
        <v>75</v>
      </c>
      <c r="T101" s="8">
        <f aca="true" t="shared" si="214" ref="T101:T107">(C101-250*SQRT(101.325/(101.325-34.3)-1))*D101/C101</f>
        <v>82.90710032283553</v>
      </c>
      <c r="U101" s="8">
        <f aca="true" t="shared" si="215" ref="U101:U107">D101*34.3/98*1.634*1+4*POWER(C101/950,2.25)</f>
        <v>62.217677322064276</v>
      </c>
      <c r="V101" s="1">
        <v>75</v>
      </c>
      <c r="W101" s="8">
        <f aca="true" t="shared" si="216" ref="W101:W107">(C101-250*SQRT(101.325/(101.325-39.2)-1))*D101/C101</f>
        <v>81.16776160945484</v>
      </c>
      <c r="X101" s="8">
        <f aca="true" t="shared" si="217" ref="X101:X107">D101*39.2/98*1.634*1+4*POWER(C101/950,2.25)</f>
        <v>70.2783094914922</v>
      </c>
      <c r="Y101" s="1">
        <v>90</v>
      </c>
      <c r="Z101" s="8">
        <f aca="true" t="shared" si="218" ref="Z101:Z107">(C101-250*SQRT(101.325/(101.325-44.1)-1))*D101/C101</f>
        <v>79.3285186889322</v>
      </c>
      <c r="AA101" s="41">
        <f aca="true" t="shared" si="219" ref="AA101:AA107">D101*44.1/98*1.634*1+4*POWER(C101/950,2.25)</f>
        <v>78.33894166092011</v>
      </c>
      <c r="AB101" s="1">
        <v>90</v>
      </c>
      <c r="AC101" s="8">
        <f aca="true" t="shared" si="220" ref="AC101:AC107">(C101-250*SQRT(101.325/(101.325-49)-1))*D101/C101</f>
        <v>77.34992520918276</v>
      </c>
      <c r="AD101" s="41">
        <f aca="true" t="shared" si="221" ref="AD101:AD107">D101*49/98*1.634*1+4*POWER(C101/950,2.25)</f>
        <v>86.39957383034802</v>
      </c>
      <c r="AE101" s="1">
        <v>110</v>
      </c>
      <c r="AF101" s="6">
        <v>4</v>
      </c>
    </row>
    <row r="102" spans="1:32" ht="45" customHeight="1">
      <c r="A102" s="173"/>
      <c r="B102" s="186"/>
      <c r="C102" s="1">
        <v>1250</v>
      </c>
      <c r="D102" s="5">
        <f t="shared" si="203"/>
        <v>110.11311212389504</v>
      </c>
      <c r="E102" s="41">
        <f t="shared" si="204"/>
        <v>102.90681437971112</v>
      </c>
      <c r="F102" s="8">
        <f t="shared" si="205"/>
        <v>25.40950181412863</v>
      </c>
      <c r="G102" s="44">
        <v>30</v>
      </c>
      <c r="H102" s="41">
        <f t="shared" si="206"/>
        <v>101.04104872658213</v>
      </c>
      <c r="I102" s="8">
        <f t="shared" si="207"/>
        <v>34.40574307465085</v>
      </c>
      <c r="J102" s="1">
        <v>45</v>
      </c>
      <c r="K102" s="8">
        <f t="shared" si="208"/>
        <v>99.32812566946255</v>
      </c>
      <c r="L102" s="8">
        <f t="shared" si="209"/>
        <v>43.40198433517308</v>
      </c>
      <c r="M102" s="1">
        <v>55</v>
      </c>
      <c r="N102" s="8">
        <f t="shared" si="210"/>
        <v>97.67653719887515</v>
      </c>
      <c r="O102" s="8">
        <f t="shared" si="211"/>
        <v>52.39822559569531</v>
      </c>
      <c r="P102" s="1">
        <v>75</v>
      </c>
      <c r="Q102" s="8">
        <f t="shared" si="212"/>
        <v>96.03310862097027</v>
      </c>
      <c r="R102" s="8">
        <f t="shared" si="213"/>
        <v>61.39446685621752</v>
      </c>
      <c r="S102" s="1">
        <v>75</v>
      </c>
      <c r="T102" s="8">
        <f t="shared" si="214"/>
        <v>94.35886398372062</v>
      </c>
      <c r="U102" s="8">
        <f t="shared" si="215"/>
        <v>70.39070811673975</v>
      </c>
      <c r="V102" s="1">
        <v>90</v>
      </c>
      <c r="W102" s="8">
        <f t="shared" si="216"/>
        <v>92.61952527033993</v>
      </c>
      <c r="X102" s="8">
        <f t="shared" si="217"/>
        <v>79.38694937726198</v>
      </c>
      <c r="Y102" s="1">
        <v>90</v>
      </c>
      <c r="Z102" s="8">
        <f t="shared" si="218"/>
        <v>90.7802823498173</v>
      </c>
      <c r="AA102" s="41">
        <f t="shared" si="219"/>
        <v>88.3831906377842</v>
      </c>
      <c r="AB102" s="1">
        <v>110</v>
      </c>
      <c r="AC102" s="8">
        <f t="shared" si="220"/>
        <v>88.80168887006784</v>
      </c>
      <c r="AD102" s="41">
        <f t="shared" si="221"/>
        <v>97.37943189830644</v>
      </c>
      <c r="AE102" s="1">
        <v>110</v>
      </c>
      <c r="AF102" s="6">
        <v>4</v>
      </c>
    </row>
    <row r="103" spans="1:32" ht="45" customHeight="1">
      <c r="A103" s="173"/>
      <c r="B103" s="186"/>
      <c r="C103" s="1">
        <v>1400</v>
      </c>
      <c r="D103" s="5">
        <f t="shared" si="203"/>
        <v>123.32668557876244</v>
      </c>
      <c r="E103" s="41">
        <f t="shared" si="204"/>
        <v>116.12038783457851</v>
      </c>
      <c r="F103" s="8">
        <f t="shared" si="205"/>
        <v>29.722859065046215</v>
      </c>
      <c r="G103" s="44">
        <v>37</v>
      </c>
      <c r="H103" s="41">
        <f t="shared" si="206"/>
        <v>114.25462218144955</v>
      </c>
      <c r="I103" s="8">
        <f t="shared" si="207"/>
        <v>39.79864927683111</v>
      </c>
      <c r="J103" s="1">
        <v>45</v>
      </c>
      <c r="K103" s="41">
        <f t="shared" si="208"/>
        <v>112.54169912432994</v>
      </c>
      <c r="L103" s="8">
        <f t="shared" si="209"/>
        <v>49.87443948861599</v>
      </c>
      <c r="M103" s="1">
        <v>75</v>
      </c>
      <c r="N103" s="41">
        <f t="shared" si="210"/>
        <v>110.89011065374255</v>
      </c>
      <c r="O103" s="8">
        <f t="shared" si="211"/>
        <v>59.95022970040089</v>
      </c>
      <c r="P103" s="1">
        <v>75</v>
      </c>
      <c r="Q103" s="41">
        <f t="shared" si="212"/>
        <v>109.24668207583768</v>
      </c>
      <c r="R103" s="8">
        <f t="shared" si="213"/>
        <v>70.02601991218577</v>
      </c>
      <c r="S103" s="1">
        <v>90</v>
      </c>
      <c r="T103" s="41">
        <f t="shared" si="214"/>
        <v>107.57243743858803</v>
      </c>
      <c r="U103" s="8">
        <f t="shared" si="215"/>
        <v>80.10181012397067</v>
      </c>
      <c r="V103" s="1">
        <v>90</v>
      </c>
      <c r="W103" s="41">
        <f t="shared" si="216"/>
        <v>105.83309872520732</v>
      </c>
      <c r="X103" s="8">
        <f t="shared" si="217"/>
        <v>90.17760033575556</v>
      </c>
      <c r="Y103" s="1">
        <v>110</v>
      </c>
      <c r="Z103" s="41">
        <f t="shared" si="218"/>
        <v>103.9938558046847</v>
      </c>
      <c r="AA103" s="41">
        <f t="shared" si="219"/>
        <v>100.25339054754045</v>
      </c>
      <c r="AB103" s="1">
        <v>132</v>
      </c>
      <c r="AC103" s="41">
        <f t="shared" si="220"/>
        <v>102.01526232493526</v>
      </c>
      <c r="AD103" s="41">
        <f t="shared" si="221"/>
        <v>110.32918075932535</v>
      </c>
      <c r="AE103" s="1">
        <v>132</v>
      </c>
      <c r="AF103" s="6">
        <v>4</v>
      </c>
    </row>
    <row r="104" spans="1:32" ht="45" customHeight="1">
      <c r="A104" s="173"/>
      <c r="B104" s="186"/>
      <c r="C104" s="1">
        <v>1480</v>
      </c>
      <c r="D104" s="5">
        <f t="shared" si="203"/>
        <v>130.3739247546917</v>
      </c>
      <c r="E104" s="41">
        <f t="shared" si="204"/>
        <v>123.16762701050779</v>
      </c>
      <c r="F104" s="8">
        <f t="shared" si="205"/>
        <v>32.149127749337985</v>
      </c>
      <c r="G104" s="44">
        <v>37</v>
      </c>
      <c r="H104" s="41">
        <f t="shared" si="206"/>
        <v>121.3018613573788</v>
      </c>
      <c r="I104" s="8">
        <f t="shared" si="207"/>
        <v>42.80067740179629</v>
      </c>
      <c r="J104" s="1">
        <v>55</v>
      </c>
      <c r="K104" s="41">
        <f t="shared" si="208"/>
        <v>119.58893830025922</v>
      </c>
      <c r="L104" s="8">
        <f t="shared" si="209"/>
        <v>53.45222705425461</v>
      </c>
      <c r="M104" s="1">
        <v>75</v>
      </c>
      <c r="N104" s="41">
        <f t="shared" si="210"/>
        <v>117.93734982967182</v>
      </c>
      <c r="O104" s="8">
        <f t="shared" si="211"/>
        <v>64.10377670671292</v>
      </c>
      <c r="P104" s="1">
        <v>75</v>
      </c>
      <c r="Q104" s="41">
        <f t="shared" si="212"/>
        <v>116.29392125176693</v>
      </c>
      <c r="R104" s="8">
        <f t="shared" si="213"/>
        <v>74.75532635917122</v>
      </c>
      <c r="S104" s="1">
        <v>90</v>
      </c>
      <c r="T104" s="41">
        <f t="shared" si="214"/>
        <v>114.6196766145173</v>
      </c>
      <c r="U104" s="8">
        <f t="shared" si="215"/>
        <v>85.40687601162954</v>
      </c>
      <c r="V104" s="1">
        <v>110</v>
      </c>
      <c r="W104" s="41">
        <f t="shared" si="216"/>
        <v>112.8803379011366</v>
      </c>
      <c r="X104" s="8">
        <f t="shared" si="217"/>
        <v>96.05842566408785</v>
      </c>
      <c r="Y104" s="1">
        <v>110</v>
      </c>
      <c r="Z104" s="41">
        <f t="shared" si="218"/>
        <v>111.04109498061396</v>
      </c>
      <c r="AA104" s="41">
        <f t="shared" si="219"/>
        <v>106.70997531654618</v>
      </c>
      <c r="AB104" s="1">
        <v>132</v>
      </c>
      <c r="AC104" s="41">
        <f t="shared" si="220"/>
        <v>109.06250150086451</v>
      </c>
      <c r="AD104" s="41">
        <f t="shared" si="221"/>
        <v>117.36152496900448</v>
      </c>
      <c r="AE104" s="1">
        <v>132</v>
      </c>
      <c r="AF104" s="6">
        <v>4</v>
      </c>
    </row>
    <row r="105" spans="1:32" ht="45" customHeight="1">
      <c r="A105" s="173"/>
      <c r="B105" s="186"/>
      <c r="C105" s="1">
        <v>1580</v>
      </c>
      <c r="D105" s="5">
        <f t="shared" si="203"/>
        <v>139.18297372460333</v>
      </c>
      <c r="E105" s="41">
        <f t="shared" si="204"/>
        <v>131.9766759804194</v>
      </c>
      <c r="F105" s="8">
        <f t="shared" si="205"/>
        <v>35.30743518647084</v>
      </c>
      <c r="G105" s="44">
        <v>45</v>
      </c>
      <c r="H105" s="41">
        <f t="shared" si="206"/>
        <v>130.1109103272904</v>
      </c>
      <c r="I105" s="8">
        <f t="shared" si="207"/>
        <v>46.67868413977093</v>
      </c>
      <c r="J105" s="1">
        <v>55</v>
      </c>
      <c r="K105" s="41">
        <f t="shared" si="208"/>
        <v>128.39798727017083</v>
      </c>
      <c r="L105" s="8">
        <f t="shared" si="209"/>
        <v>58.049933093071026</v>
      </c>
      <c r="M105" s="1">
        <v>75</v>
      </c>
      <c r="N105" s="41">
        <f t="shared" si="210"/>
        <v>126.74639879958343</v>
      </c>
      <c r="O105" s="8">
        <f t="shared" si="211"/>
        <v>69.42118204637111</v>
      </c>
      <c r="P105" s="1">
        <v>90</v>
      </c>
      <c r="Q105" s="41">
        <f t="shared" si="212"/>
        <v>125.10297022167856</v>
      </c>
      <c r="R105" s="8">
        <f t="shared" si="213"/>
        <v>80.79243099967121</v>
      </c>
      <c r="S105" s="1">
        <v>90</v>
      </c>
      <c r="T105" s="41">
        <f t="shared" si="214"/>
        <v>123.42872558442892</v>
      </c>
      <c r="U105" s="8">
        <f t="shared" si="215"/>
        <v>92.1636799529713</v>
      </c>
      <c r="V105" s="1">
        <v>110</v>
      </c>
      <c r="W105" s="41">
        <f t="shared" si="216"/>
        <v>121.68938687104823</v>
      </c>
      <c r="X105" s="41">
        <f t="shared" si="217"/>
        <v>103.5349289062714</v>
      </c>
      <c r="Y105" s="1">
        <v>132</v>
      </c>
      <c r="Z105" s="41">
        <f t="shared" si="218"/>
        <v>119.85014395052559</v>
      </c>
      <c r="AA105" s="41">
        <f t="shared" si="219"/>
        <v>114.9061778595715</v>
      </c>
      <c r="AB105" s="1">
        <v>132</v>
      </c>
      <c r="AC105" s="41">
        <f t="shared" si="220"/>
        <v>117.87155047077614</v>
      </c>
      <c r="AD105" s="41">
        <f t="shared" si="221"/>
        <v>126.27742681287158</v>
      </c>
      <c r="AE105" s="1">
        <v>160</v>
      </c>
      <c r="AF105" s="6">
        <v>4</v>
      </c>
    </row>
    <row r="106" spans="1:32" ht="45" customHeight="1">
      <c r="A106" s="173"/>
      <c r="B106" s="186"/>
      <c r="C106" s="1">
        <v>1680</v>
      </c>
      <c r="D106" s="5">
        <f t="shared" si="203"/>
        <v>147.99202269451493</v>
      </c>
      <c r="E106" s="41">
        <f t="shared" si="204"/>
        <v>140.785724950331</v>
      </c>
      <c r="F106" s="8">
        <f t="shared" si="205"/>
        <v>38.607293147602356</v>
      </c>
      <c r="G106" s="44">
        <v>45</v>
      </c>
      <c r="H106" s="41">
        <f t="shared" si="206"/>
        <v>138.91995929720204</v>
      </c>
      <c r="I106" s="8">
        <f t="shared" si="207"/>
        <v>50.69824140174422</v>
      </c>
      <c r="J106" s="1">
        <v>75</v>
      </c>
      <c r="K106" s="41">
        <f t="shared" si="208"/>
        <v>137.20703624008246</v>
      </c>
      <c r="L106" s="8">
        <f t="shared" si="209"/>
        <v>62.78918965588609</v>
      </c>
      <c r="M106" s="1">
        <v>75</v>
      </c>
      <c r="N106" s="41">
        <f t="shared" si="210"/>
        <v>135.55544776949503</v>
      </c>
      <c r="O106" s="8">
        <f t="shared" si="211"/>
        <v>74.88013791002795</v>
      </c>
      <c r="P106" s="1">
        <v>90</v>
      </c>
      <c r="Q106" s="41">
        <f t="shared" si="212"/>
        <v>133.91201919159016</v>
      </c>
      <c r="R106" s="8">
        <f t="shared" si="213"/>
        <v>86.97108616416983</v>
      </c>
      <c r="S106" s="1">
        <v>110</v>
      </c>
      <c r="T106" s="41">
        <f t="shared" si="214"/>
        <v>132.23777455434052</v>
      </c>
      <c r="U106" s="8">
        <f t="shared" si="215"/>
        <v>99.0620344183117</v>
      </c>
      <c r="V106" s="1">
        <v>110</v>
      </c>
      <c r="W106" s="41">
        <f t="shared" si="216"/>
        <v>130.49843584095981</v>
      </c>
      <c r="X106" s="41">
        <f t="shared" si="217"/>
        <v>111.15298267245358</v>
      </c>
      <c r="Y106" s="1">
        <v>132</v>
      </c>
      <c r="Z106" s="41">
        <f t="shared" si="218"/>
        <v>128.6591929204372</v>
      </c>
      <c r="AA106" s="41">
        <f t="shared" si="219"/>
        <v>123.24393092659545</v>
      </c>
      <c r="AB106" s="1">
        <v>160</v>
      </c>
      <c r="AC106" s="41">
        <f t="shared" si="220"/>
        <v>126.68059944068774</v>
      </c>
      <c r="AD106" s="41">
        <f t="shared" si="221"/>
        <v>135.3348791807373</v>
      </c>
      <c r="AE106" s="1">
        <v>160</v>
      </c>
      <c r="AF106" s="6">
        <v>4</v>
      </c>
    </row>
    <row r="107" spans="1:32" ht="45" customHeight="1">
      <c r="A107" s="184"/>
      <c r="B107" s="187"/>
      <c r="C107" s="7">
        <v>1780</v>
      </c>
      <c r="D107" s="12">
        <f t="shared" si="203"/>
        <v>156.80107166442653</v>
      </c>
      <c r="E107" s="39">
        <f t="shared" si="204"/>
        <v>149.59477392024263</v>
      </c>
      <c r="F107" s="20">
        <f t="shared" si="205"/>
        <v>42.05089111974564</v>
      </c>
      <c r="G107" s="46">
        <v>55</v>
      </c>
      <c r="H107" s="39">
        <f t="shared" si="206"/>
        <v>147.72900826711364</v>
      </c>
      <c r="I107" s="20">
        <f t="shared" si="207"/>
        <v>54.861538674729275</v>
      </c>
      <c r="J107" s="7">
        <v>75</v>
      </c>
      <c r="K107" s="39">
        <f t="shared" si="208"/>
        <v>146.01608520999406</v>
      </c>
      <c r="L107" s="20">
        <f t="shared" si="209"/>
        <v>67.67218622971293</v>
      </c>
      <c r="M107" s="7">
        <v>90</v>
      </c>
      <c r="N107" s="39">
        <f t="shared" si="210"/>
        <v>144.36449673940663</v>
      </c>
      <c r="O107" s="20">
        <f t="shared" si="211"/>
        <v>80.48283378469658</v>
      </c>
      <c r="P107" s="7">
        <v>90</v>
      </c>
      <c r="Q107" s="39">
        <f t="shared" si="212"/>
        <v>142.72106816150176</v>
      </c>
      <c r="R107" s="20">
        <f t="shared" si="213"/>
        <v>93.29348133968021</v>
      </c>
      <c r="S107" s="7">
        <v>110</v>
      </c>
      <c r="T107" s="39">
        <f t="shared" si="214"/>
        <v>141.04682352425212</v>
      </c>
      <c r="U107" s="39">
        <f t="shared" si="215"/>
        <v>106.10412889466387</v>
      </c>
      <c r="V107" s="7">
        <v>132</v>
      </c>
      <c r="W107" s="39">
        <f t="shared" si="216"/>
        <v>139.30748481087141</v>
      </c>
      <c r="X107" s="39">
        <f t="shared" si="217"/>
        <v>118.91477644964752</v>
      </c>
      <c r="Y107" s="7">
        <v>132</v>
      </c>
      <c r="Z107" s="39">
        <f t="shared" si="218"/>
        <v>137.4682418903488</v>
      </c>
      <c r="AA107" s="39">
        <f t="shared" si="219"/>
        <v>131.72542400463118</v>
      </c>
      <c r="AB107" s="7">
        <v>160</v>
      </c>
      <c r="AC107" s="39">
        <f t="shared" si="220"/>
        <v>135.48964841059936</v>
      </c>
      <c r="AD107" s="39">
        <f t="shared" si="221"/>
        <v>144.5360715596148</v>
      </c>
      <c r="AE107" s="7">
        <v>160</v>
      </c>
      <c r="AF107" s="13">
        <v>4</v>
      </c>
    </row>
    <row r="108" spans="1:32" ht="45" customHeight="1">
      <c r="A108" s="183" t="s">
        <v>52</v>
      </c>
      <c r="B108" s="185">
        <v>300</v>
      </c>
      <c r="C108" s="2">
        <v>980</v>
      </c>
      <c r="D108" s="11">
        <f>PI()/2*0.526*POWER(0.405,2)*0.8*C108</f>
        <v>106.25068296016455</v>
      </c>
      <c r="E108" s="21">
        <f>(C108-240*SQRT(101.325/(101.325-9.8)-1))*D108/C108</f>
        <v>97.7361650101134</v>
      </c>
      <c r="F108" s="21">
        <f>D108*9.8/98*1.634*1+4.8*POWER(C108/950,2.5)</f>
        <v>22.549331085851556</v>
      </c>
      <c r="G108" s="43">
        <v>30</v>
      </c>
      <c r="H108" s="21">
        <f>(C108-240*SQRT(101.325/(101.325-14.7)-1))*D108/C108</f>
        <v>95.53169113072408</v>
      </c>
      <c r="I108" s="21">
        <f>D108*14.7/98*1.634*1+4.8*POWER(C108/950,2.5)</f>
        <v>31.230011883696996</v>
      </c>
      <c r="J108" s="2">
        <v>37</v>
      </c>
      <c r="K108" s="21">
        <f>(C108-240*SQRT(101.325/(101.325-19.6)-1))*D108/C108</f>
        <v>93.50780665708125</v>
      </c>
      <c r="L108" s="21">
        <f>D108*19.6/98*1.634*1+4.8*POWER(C108/950,2.5)</f>
        <v>39.91069268154244</v>
      </c>
      <c r="M108" s="2">
        <v>45</v>
      </c>
      <c r="N108" s="21">
        <f>(C108-240*SQRT(101.325/(101.325-24.5)-1))*D108/C108</f>
        <v>91.55639135644876</v>
      </c>
      <c r="O108" s="21">
        <f>D108*24.5/98*1.634*1+4.8*POWER(C108/950,2.5)</f>
        <v>48.59137347938788</v>
      </c>
      <c r="P108" s="2">
        <v>55</v>
      </c>
      <c r="Q108" s="21">
        <f>(C108-240*SQRT(101.325/(101.325-29.4)-1))*D108/C108</f>
        <v>89.61461728286267</v>
      </c>
      <c r="R108" s="21">
        <f>D108*29.4/98*1.634*1+4.8*POWER(C108/950,2.5)</f>
        <v>57.27205427723332</v>
      </c>
      <c r="S108" s="2">
        <v>75</v>
      </c>
      <c r="T108" s="21">
        <f>(C108-240*SQRT(101.325/(101.325-34.3)-1))*D108/C108</f>
        <v>87.63643284992771</v>
      </c>
      <c r="U108" s="21">
        <f>D108*34.3/98*1.634*1+4.8*POWER(C108/950,2.5)</f>
        <v>65.95273507507878</v>
      </c>
      <c r="V108" s="2">
        <v>75</v>
      </c>
      <c r="W108" s="21">
        <f>(C108-240*SQRT(101.325/(101.325-39.2)-1))*D108/C108</f>
        <v>85.5813372624256</v>
      </c>
      <c r="X108" s="21">
        <f>D108*39.2/98*1.634*1+4.8*POWER(C108/950,2.5)</f>
        <v>74.63341587292422</v>
      </c>
      <c r="Y108" s="2">
        <v>90</v>
      </c>
      <c r="Z108" s="21">
        <f>(C108-240*SQRT(101.325/(101.325-44.1)-1))*D108/C108</f>
        <v>83.40820101171578</v>
      </c>
      <c r="AA108" s="21">
        <f>D108*44.1/98*1.634*1+4.8*POWER(C108/950,2.5)</f>
        <v>83.31409667076966</v>
      </c>
      <c r="AB108" s="2">
        <v>110</v>
      </c>
      <c r="AC108" s="21">
        <f>(C108-240*SQRT(101.325/(101.325-49)-1))*D108/C108</f>
        <v>81.07041671564258</v>
      </c>
      <c r="AD108" s="21">
        <f>D108*49/98*1.634*1+4.8*POWER(C108/950,2.5)</f>
        <v>91.9947774686151</v>
      </c>
      <c r="AE108" s="2">
        <v>110</v>
      </c>
      <c r="AF108" s="9">
        <v>4</v>
      </c>
    </row>
    <row r="109" spans="1:32" ht="45" customHeight="1">
      <c r="A109" s="173"/>
      <c r="B109" s="186"/>
      <c r="C109" s="1">
        <v>1120</v>
      </c>
      <c r="D109" s="5">
        <f aca="true" t="shared" si="222" ref="D109:D115">PI()/2*0.526*POWER(0.405,2)*0.8*C109</f>
        <v>121.42935195447377</v>
      </c>
      <c r="E109" s="41">
        <f aca="true" t="shared" si="223" ref="E109:E115">(C109-240*SQRT(101.325/(101.325-9.8)-1))*D109/C109</f>
        <v>112.91483400442262</v>
      </c>
      <c r="F109" s="8">
        <f aca="true" t="shared" si="224" ref="F109:F115">D109*9.8/98*1.634*1+4.8*POWER(C109/950,2.5)</f>
        <v>27.085536747109813</v>
      </c>
      <c r="G109" s="44">
        <v>37</v>
      </c>
      <c r="H109" s="41">
        <f aca="true" t="shared" si="225" ref="H109:H115">(C109-240*SQRT(101.325/(101.325-14.7)-1))*D109/C109</f>
        <v>110.71036012503332</v>
      </c>
      <c r="I109" s="8">
        <f aca="true" t="shared" si="226" ref="I109:I115">D109*14.7/98*1.634*1+4.8*POWER(C109/950,2.5)</f>
        <v>37.006314801790325</v>
      </c>
      <c r="J109" s="1">
        <v>45</v>
      </c>
      <c r="K109" s="41">
        <f aca="true" t="shared" si="227" ref="K109:K115">(C109-240*SQRT(101.325/(101.325-19.6)-1))*D109/C109</f>
        <v>108.68647565139047</v>
      </c>
      <c r="L109" s="8">
        <f aca="true" t="shared" si="228" ref="L109:L115">D109*19.6/98*1.634*1+4.8*POWER(C109/950,2.5)</f>
        <v>46.92709285647083</v>
      </c>
      <c r="M109" s="1">
        <v>55</v>
      </c>
      <c r="N109" s="41">
        <f aca="true" t="shared" si="229" ref="N109:N115">(C109-240*SQRT(101.325/(101.325-24.5)-1))*D109/C109</f>
        <v>106.73506035075798</v>
      </c>
      <c r="O109" s="8">
        <f aca="true" t="shared" si="230" ref="O109:O115">D109*24.5/98*1.634*1+4.8*POWER(C109/950,2.5)</f>
        <v>56.84787091115134</v>
      </c>
      <c r="P109" s="1">
        <v>75</v>
      </c>
      <c r="Q109" s="41">
        <f aca="true" t="shared" si="231" ref="Q109:Q115">(C109-240*SQRT(101.325/(101.325-29.4)-1))*D109/C109</f>
        <v>104.79328627717189</v>
      </c>
      <c r="R109" s="8">
        <f aca="true" t="shared" si="232" ref="R109:R115">D109*29.4/98*1.634*1+4.8*POWER(C109/950,2.5)</f>
        <v>66.76864896583184</v>
      </c>
      <c r="S109" s="1">
        <v>90</v>
      </c>
      <c r="T109" s="41">
        <f aca="true" t="shared" si="233" ref="T109:T115">(C109-240*SQRT(101.325/(101.325-34.3)-1))*D109/C109</f>
        <v>102.81510184423693</v>
      </c>
      <c r="U109" s="8">
        <f aca="true" t="shared" si="234" ref="U109:U115">D109*34.3/98*1.634*1+4.8*POWER(C109/950,2.5)</f>
        <v>76.68942702051235</v>
      </c>
      <c r="V109" s="1">
        <v>90</v>
      </c>
      <c r="W109" s="8">
        <f aca="true" t="shared" si="235" ref="W109:W115">(C109-240*SQRT(101.325/(101.325-39.2)-1))*D109/C109</f>
        <v>100.76000625673483</v>
      </c>
      <c r="X109" s="8">
        <f aca="true" t="shared" si="236" ref="X109:X115">D109*39.2/98*1.634*1+4.8*POWER(C109/950,2.5)</f>
        <v>86.61020507519285</v>
      </c>
      <c r="Y109" s="1">
        <v>110</v>
      </c>
      <c r="Z109" s="8">
        <f aca="true" t="shared" si="237" ref="Z109:Z115">(C109-240*SQRT(101.325/(101.325-44.1)-1))*D109/C109</f>
        <v>98.58687000602501</v>
      </c>
      <c r="AA109" s="8">
        <f aca="true" t="shared" si="238" ref="AA109:AA115">D109*44.1/98*1.634*1+4.8*POWER(C109/950,2.5)</f>
        <v>96.53098312987338</v>
      </c>
      <c r="AB109" s="1">
        <v>110</v>
      </c>
      <c r="AC109" s="8">
        <f aca="true" t="shared" si="239" ref="AC109:AC115">(C109-240*SQRT(101.325/(101.325-49)-1))*D109/C109</f>
        <v>96.2490857099518</v>
      </c>
      <c r="AD109" s="41">
        <f aca="true" t="shared" si="240" ref="AD109:AD115">D109*49/98*1.634*1+4.8*POWER(C109/950,2.5)</f>
        <v>106.45176118455387</v>
      </c>
      <c r="AE109" s="1">
        <v>132</v>
      </c>
      <c r="AF109" s="6">
        <v>4</v>
      </c>
    </row>
    <row r="110" spans="1:32" ht="45" customHeight="1">
      <c r="A110" s="173"/>
      <c r="B110" s="186"/>
      <c r="C110" s="1">
        <v>1250</v>
      </c>
      <c r="D110" s="5">
        <f t="shared" si="222"/>
        <v>135.52383030633234</v>
      </c>
      <c r="E110" s="41">
        <f t="shared" si="223"/>
        <v>127.00931235628119</v>
      </c>
      <c r="F110" s="8">
        <f t="shared" si="224"/>
        <v>31.67710358966808</v>
      </c>
      <c r="G110" s="44">
        <v>37</v>
      </c>
      <c r="H110" s="41">
        <f t="shared" si="225"/>
        <v>124.80483847689189</v>
      </c>
      <c r="I110" s="8">
        <f t="shared" si="226"/>
        <v>42.74940052569542</v>
      </c>
      <c r="J110" s="1">
        <v>55</v>
      </c>
      <c r="K110" s="41">
        <f t="shared" si="227"/>
        <v>122.78095400324904</v>
      </c>
      <c r="L110" s="8">
        <f t="shared" si="228"/>
        <v>53.821697461722785</v>
      </c>
      <c r="M110" s="1">
        <v>75</v>
      </c>
      <c r="N110" s="41">
        <f t="shared" si="229"/>
        <v>120.82953870261653</v>
      </c>
      <c r="O110" s="8">
        <f t="shared" si="230"/>
        <v>64.89399439775013</v>
      </c>
      <c r="P110" s="1">
        <v>75</v>
      </c>
      <c r="Q110" s="41">
        <f t="shared" si="231"/>
        <v>118.88776462903046</v>
      </c>
      <c r="R110" s="8">
        <f t="shared" si="232"/>
        <v>75.96629133377746</v>
      </c>
      <c r="S110" s="1">
        <v>90</v>
      </c>
      <c r="T110" s="41">
        <f t="shared" si="233"/>
        <v>116.90958019609552</v>
      </c>
      <c r="U110" s="8">
        <f t="shared" si="234"/>
        <v>87.0385882698048</v>
      </c>
      <c r="V110" s="1">
        <v>110</v>
      </c>
      <c r="W110" s="41">
        <f t="shared" si="235"/>
        <v>114.8544846085934</v>
      </c>
      <c r="X110" s="8">
        <f t="shared" si="236"/>
        <v>98.11088520583219</v>
      </c>
      <c r="Y110" s="1">
        <v>110</v>
      </c>
      <c r="Z110" s="41">
        <f t="shared" si="237"/>
        <v>112.68134835788358</v>
      </c>
      <c r="AA110" s="41">
        <f t="shared" si="238"/>
        <v>109.18318214185953</v>
      </c>
      <c r="AB110" s="1">
        <v>132</v>
      </c>
      <c r="AC110" s="41">
        <f t="shared" si="239"/>
        <v>110.34356406181038</v>
      </c>
      <c r="AD110" s="41">
        <f t="shared" si="240"/>
        <v>120.25547907788689</v>
      </c>
      <c r="AE110" s="1">
        <v>160</v>
      </c>
      <c r="AF110" s="6">
        <v>4</v>
      </c>
    </row>
    <row r="111" spans="1:32" ht="45" customHeight="1">
      <c r="A111" s="173"/>
      <c r="B111" s="186"/>
      <c r="C111" s="1">
        <v>1400</v>
      </c>
      <c r="D111" s="5">
        <f t="shared" si="222"/>
        <v>151.7866899430922</v>
      </c>
      <c r="E111" s="41">
        <f t="shared" si="223"/>
        <v>143.27217199304104</v>
      </c>
      <c r="F111" s="8">
        <f t="shared" si="224"/>
        <v>37.4566585224033</v>
      </c>
      <c r="G111" s="44">
        <v>45</v>
      </c>
      <c r="H111" s="41">
        <f t="shared" si="225"/>
        <v>141.06769811365174</v>
      </c>
      <c r="I111" s="8">
        <f t="shared" si="226"/>
        <v>49.857631090753934</v>
      </c>
      <c r="J111" s="1">
        <v>75</v>
      </c>
      <c r="K111" s="41">
        <f t="shared" si="227"/>
        <v>139.0438136400089</v>
      </c>
      <c r="L111" s="8">
        <f t="shared" si="228"/>
        <v>62.25860365910457</v>
      </c>
      <c r="M111" s="1">
        <v>75</v>
      </c>
      <c r="N111" s="41">
        <f t="shared" si="229"/>
        <v>137.0923983393764</v>
      </c>
      <c r="O111" s="8">
        <f t="shared" si="230"/>
        <v>74.65957622745519</v>
      </c>
      <c r="P111" s="1">
        <v>90</v>
      </c>
      <c r="Q111" s="41">
        <f t="shared" si="231"/>
        <v>135.15062426579033</v>
      </c>
      <c r="R111" s="8">
        <f t="shared" si="232"/>
        <v>87.06054879580583</v>
      </c>
      <c r="S111" s="1">
        <v>110</v>
      </c>
      <c r="T111" s="41">
        <f t="shared" si="233"/>
        <v>133.17243983285536</v>
      </c>
      <c r="U111" s="8">
        <f t="shared" si="234"/>
        <v>99.46152136415645</v>
      </c>
      <c r="V111" s="1">
        <v>110</v>
      </c>
      <c r="W111" s="41">
        <f t="shared" si="235"/>
        <v>131.11734424535325</v>
      </c>
      <c r="X111" s="41">
        <f t="shared" si="236"/>
        <v>111.8624939325071</v>
      </c>
      <c r="Y111" s="1">
        <v>132</v>
      </c>
      <c r="Z111" s="41">
        <f t="shared" si="237"/>
        <v>128.94420799464345</v>
      </c>
      <c r="AA111" s="41">
        <f t="shared" si="238"/>
        <v>124.26346650085773</v>
      </c>
      <c r="AB111" s="1">
        <v>160</v>
      </c>
      <c r="AC111" s="41">
        <f t="shared" si="239"/>
        <v>126.60642369857023</v>
      </c>
      <c r="AD111" s="41">
        <f t="shared" si="240"/>
        <v>136.66443906920836</v>
      </c>
      <c r="AE111" s="1">
        <v>160</v>
      </c>
      <c r="AF111" s="6">
        <v>4</v>
      </c>
    </row>
    <row r="112" spans="1:32" ht="45" customHeight="1">
      <c r="A112" s="173"/>
      <c r="B112" s="186"/>
      <c r="C112" s="1">
        <v>1480</v>
      </c>
      <c r="D112" s="5">
        <f t="shared" si="222"/>
        <v>160.4602150826975</v>
      </c>
      <c r="E112" s="41">
        <f t="shared" si="223"/>
        <v>151.94569713264633</v>
      </c>
      <c r="F112" s="8">
        <f t="shared" si="224"/>
        <v>40.75993926705028</v>
      </c>
      <c r="G112" s="44">
        <v>55</v>
      </c>
      <c r="H112" s="41">
        <f t="shared" si="225"/>
        <v>149.74122325325703</v>
      </c>
      <c r="I112" s="8">
        <f t="shared" si="226"/>
        <v>53.869538839306664</v>
      </c>
      <c r="J112" s="1">
        <v>75</v>
      </c>
      <c r="K112" s="41">
        <f t="shared" si="227"/>
        <v>147.71733877961418</v>
      </c>
      <c r="L112" s="8">
        <f t="shared" si="228"/>
        <v>66.97913841156304</v>
      </c>
      <c r="M112" s="1">
        <v>75</v>
      </c>
      <c r="N112" s="41">
        <f t="shared" si="229"/>
        <v>145.76592347898168</v>
      </c>
      <c r="O112" s="8">
        <f t="shared" si="230"/>
        <v>80.08873798381943</v>
      </c>
      <c r="P112" s="1">
        <v>90</v>
      </c>
      <c r="Q112" s="41">
        <f t="shared" si="231"/>
        <v>143.82414940539562</v>
      </c>
      <c r="R112" s="8">
        <f t="shared" si="232"/>
        <v>93.19833755607581</v>
      </c>
      <c r="S112" s="1">
        <v>110</v>
      </c>
      <c r="T112" s="41">
        <f t="shared" si="233"/>
        <v>141.84596497246065</v>
      </c>
      <c r="U112" s="41">
        <f t="shared" si="234"/>
        <v>106.30793712833218</v>
      </c>
      <c r="V112" s="1">
        <v>132</v>
      </c>
      <c r="W112" s="41">
        <f t="shared" si="235"/>
        <v>139.79086938495854</v>
      </c>
      <c r="X112" s="41">
        <f t="shared" si="236"/>
        <v>119.41753670058858</v>
      </c>
      <c r="Y112" s="1">
        <v>132</v>
      </c>
      <c r="Z112" s="41">
        <f t="shared" si="237"/>
        <v>137.61773313424874</v>
      </c>
      <c r="AA112" s="41">
        <f t="shared" si="238"/>
        <v>132.52713627284496</v>
      </c>
      <c r="AB112" s="1">
        <v>160</v>
      </c>
      <c r="AC112" s="41">
        <f t="shared" si="239"/>
        <v>135.2799488381755</v>
      </c>
      <c r="AD112" s="41">
        <f t="shared" si="240"/>
        <v>145.63673584510133</v>
      </c>
      <c r="AE112" s="1">
        <v>160</v>
      </c>
      <c r="AF112" s="6">
        <v>4</v>
      </c>
    </row>
    <row r="113" spans="1:32" ht="45" customHeight="1">
      <c r="A113" s="173"/>
      <c r="B113" s="186"/>
      <c r="C113" s="1">
        <v>1580</v>
      </c>
      <c r="D113" s="5">
        <f t="shared" si="222"/>
        <v>171.30212150720408</v>
      </c>
      <c r="E113" s="41">
        <f t="shared" si="223"/>
        <v>162.78760355715292</v>
      </c>
      <c r="F113" s="8">
        <f t="shared" si="224"/>
        <v>45.11357286536024</v>
      </c>
      <c r="G113" s="44">
        <v>55</v>
      </c>
      <c r="H113" s="41">
        <f t="shared" si="225"/>
        <v>160.58312967776362</v>
      </c>
      <c r="I113" s="8">
        <f t="shared" si="226"/>
        <v>59.10895619249881</v>
      </c>
      <c r="J113" s="1">
        <v>75</v>
      </c>
      <c r="K113" s="41">
        <f t="shared" si="227"/>
        <v>158.55924520412077</v>
      </c>
      <c r="L113" s="8">
        <f t="shared" si="228"/>
        <v>73.10433951963739</v>
      </c>
      <c r="M113" s="1">
        <v>90</v>
      </c>
      <c r="N113" s="41">
        <f t="shared" si="229"/>
        <v>156.60782990348827</v>
      </c>
      <c r="O113" s="8">
        <f t="shared" si="230"/>
        <v>87.09972284677595</v>
      </c>
      <c r="P113" s="1">
        <v>110</v>
      </c>
      <c r="Q113" s="41">
        <f t="shared" si="231"/>
        <v>154.6660558299022</v>
      </c>
      <c r="R113" s="41">
        <f t="shared" si="232"/>
        <v>101.09510617391453</v>
      </c>
      <c r="S113" s="1">
        <v>132</v>
      </c>
      <c r="T113" s="41">
        <f t="shared" si="233"/>
        <v>152.68787139696724</v>
      </c>
      <c r="U113" s="41">
        <f t="shared" si="234"/>
        <v>115.09048950105309</v>
      </c>
      <c r="V113" s="1">
        <v>132</v>
      </c>
      <c r="W113" s="41">
        <f t="shared" si="235"/>
        <v>150.63277580946513</v>
      </c>
      <c r="X113" s="41">
        <f t="shared" si="236"/>
        <v>129.0858728281917</v>
      </c>
      <c r="Y113" s="1">
        <v>160</v>
      </c>
      <c r="Z113" s="41">
        <f t="shared" si="237"/>
        <v>148.45963955875533</v>
      </c>
      <c r="AA113" s="41">
        <f t="shared" si="238"/>
        <v>143.08125615533024</v>
      </c>
      <c r="AB113" s="1">
        <v>160</v>
      </c>
      <c r="AC113" s="41">
        <f t="shared" si="239"/>
        <v>146.1218552626821</v>
      </c>
      <c r="AD113" s="41">
        <f t="shared" si="240"/>
        <v>157.0766394824688</v>
      </c>
      <c r="AE113" s="1">
        <v>185</v>
      </c>
      <c r="AF113" s="6">
        <v>4</v>
      </c>
    </row>
    <row r="114" spans="1:32" ht="45" customHeight="1">
      <c r="A114" s="173"/>
      <c r="B114" s="186"/>
      <c r="C114" s="1">
        <v>1680</v>
      </c>
      <c r="D114" s="5">
        <f t="shared" si="222"/>
        <v>182.14402793171067</v>
      </c>
      <c r="E114" s="41">
        <f t="shared" si="223"/>
        <v>173.6295099816595</v>
      </c>
      <c r="F114" s="8">
        <f t="shared" si="224"/>
        <v>49.72439746676287</v>
      </c>
      <c r="G114" s="44">
        <v>75</v>
      </c>
      <c r="H114" s="41">
        <f t="shared" si="225"/>
        <v>171.42503610227018</v>
      </c>
      <c r="I114" s="8">
        <f t="shared" si="226"/>
        <v>64.60556454878362</v>
      </c>
      <c r="J114" s="1">
        <v>75</v>
      </c>
      <c r="K114" s="41">
        <f t="shared" si="227"/>
        <v>169.40115162862736</v>
      </c>
      <c r="L114" s="8">
        <f t="shared" si="228"/>
        <v>79.4867316308044</v>
      </c>
      <c r="M114" s="1">
        <v>90</v>
      </c>
      <c r="N114" s="41">
        <f t="shared" si="229"/>
        <v>167.44973632799486</v>
      </c>
      <c r="O114" s="8">
        <f t="shared" si="230"/>
        <v>94.36789871282515</v>
      </c>
      <c r="P114" s="1">
        <v>110</v>
      </c>
      <c r="Q114" s="41">
        <f t="shared" si="231"/>
        <v>165.5079622544088</v>
      </c>
      <c r="R114" s="41">
        <f t="shared" si="232"/>
        <v>109.24906579484589</v>
      </c>
      <c r="S114" s="1">
        <v>132</v>
      </c>
      <c r="T114" s="41">
        <f t="shared" si="233"/>
        <v>163.52977782147386</v>
      </c>
      <c r="U114" s="41">
        <f t="shared" si="234"/>
        <v>124.13023287686666</v>
      </c>
      <c r="V114" s="1">
        <v>160</v>
      </c>
      <c r="W114" s="41">
        <f t="shared" si="235"/>
        <v>161.47468223397172</v>
      </c>
      <c r="X114" s="41">
        <f t="shared" si="236"/>
        <v>139.01139995888744</v>
      </c>
      <c r="Y114" s="1">
        <v>160</v>
      </c>
      <c r="Z114" s="41">
        <f t="shared" si="237"/>
        <v>159.30154598326192</v>
      </c>
      <c r="AA114" s="41">
        <f t="shared" si="238"/>
        <v>153.8925670409082</v>
      </c>
      <c r="AB114" s="1">
        <v>185</v>
      </c>
      <c r="AC114" s="41">
        <f t="shared" si="239"/>
        <v>156.96376168718865</v>
      </c>
      <c r="AD114" s="41">
        <f t="shared" si="240"/>
        <v>168.77373412292897</v>
      </c>
      <c r="AE114" s="1">
        <v>200</v>
      </c>
      <c r="AF114" s="6">
        <v>4</v>
      </c>
    </row>
    <row r="115" spans="1:32" ht="45" customHeight="1" thickBot="1">
      <c r="A115" s="190"/>
      <c r="B115" s="192"/>
      <c r="C115" s="15">
        <v>1780</v>
      </c>
      <c r="D115" s="14">
        <f t="shared" si="222"/>
        <v>192.98593435621723</v>
      </c>
      <c r="E115" s="40">
        <f t="shared" si="223"/>
        <v>184.47141640616607</v>
      </c>
      <c r="F115" s="23">
        <f t="shared" si="224"/>
        <v>54.600429726073614</v>
      </c>
      <c r="G115" s="45">
        <v>75</v>
      </c>
      <c r="H115" s="40">
        <f t="shared" si="225"/>
        <v>182.26694252677677</v>
      </c>
      <c r="I115" s="23">
        <f t="shared" si="226"/>
        <v>70.36738056297655</v>
      </c>
      <c r="J115" s="15">
        <v>90</v>
      </c>
      <c r="K115" s="40">
        <f t="shared" si="227"/>
        <v>180.24305805313392</v>
      </c>
      <c r="L115" s="23">
        <f t="shared" si="228"/>
        <v>86.13433139987951</v>
      </c>
      <c r="M115" s="15">
        <v>110</v>
      </c>
      <c r="N115" s="40">
        <f t="shared" si="229"/>
        <v>178.29164275250142</v>
      </c>
      <c r="O115" s="40">
        <f t="shared" si="230"/>
        <v>101.90128223678245</v>
      </c>
      <c r="P115" s="15">
        <v>110</v>
      </c>
      <c r="Q115" s="40">
        <f t="shared" si="231"/>
        <v>176.34986867891536</v>
      </c>
      <c r="R115" s="40">
        <f t="shared" si="232"/>
        <v>117.66823307368539</v>
      </c>
      <c r="S115" s="15">
        <v>132</v>
      </c>
      <c r="T115" s="40">
        <f t="shared" si="233"/>
        <v>174.37168424598042</v>
      </c>
      <c r="U115" s="40">
        <f t="shared" si="234"/>
        <v>133.43518391058836</v>
      </c>
      <c r="V115" s="15">
        <v>160</v>
      </c>
      <c r="W115" s="40">
        <f t="shared" si="235"/>
        <v>172.31658865847828</v>
      </c>
      <c r="X115" s="40">
        <f t="shared" si="236"/>
        <v>149.2021347474913</v>
      </c>
      <c r="Y115" s="15">
        <v>185</v>
      </c>
      <c r="Z115" s="40">
        <f t="shared" si="237"/>
        <v>170.14345240776848</v>
      </c>
      <c r="AA115" s="40">
        <f t="shared" si="238"/>
        <v>164.96908558439426</v>
      </c>
      <c r="AB115" s="15">
        <v>185</v>
      </c>
      <c r="AC115" s="40">
        <f t="shared" si="239"/>
        <v>167.80566811169524</v>
      </c>
      <c r="AD115" s="40">
        <f t="shared" si="240"/>
        <v>180.7360364212972</v>
      </c>
      <c r="AE115" s="15">
        <v>200</v>
      </c>
      <c r="AF115" s="16">
        <v>4</v>
      </c>
    </row>
    <row r="122" ht="35.25">
      <c r="N122" s="3" t="s">
        <v>39</v>
      </c>
    </row>
  </sheetData>
  <mergeCells count="65">
    <mergeCell ref="A84:A91"/>
    <mergeCell ref="A108:A115"/>
    <mergeCell ref="B108:B115"/>
    <mergeCell ref="A92:A99"/>
    <mergeCell ref="B92:B99"/>
    <mergeCell ref="A100:A107"/>
    <mergeCell ref="B100:B107"/>
    <mergeCell ref="B84:B91"/>
    <mergeCell ref="T82:V82"/>
    <mergeCell ref="W82:Y82"/>
    <mergeCell ref="Z82:AB82"/>
    <mergeCell ref="A82:A83"/>
    <mergeCell ref="N82:P82"/>
    <mergeCell ref="Q82:S82"/>
    <mergeCell ref="E82:G82"/>
    <mergeCell ref="H82:J82"/>
    <mergeCell ref="K82:M82"/>
    <mergeCell ref="AC82:AE82"/>
    <mergeCell ref="AF82:AF83"/>
    <mergeCell ref="A50:A56"/>
    <mergeCell ref="A57:A63"/>
    <mergeCell ref="A64:A70"/>
    <mergeCell ref="A71:A77"/>
    <mergeCell ref="A79:AF79"/>
    <mergeCell ref="A80:A81"/>
    <mergeCell ref="B80:B81"/>
    <mergeCell ref="E80:AE81"/>
    <mergeCell ref="AC41:AE41"/>
    <mergeCell ref="AF41:AF42"/>
    <mergeCell ref="A43:A49"/>
    <mergeCell ref="N41:P41"/>
    <mergeCell ref="Q41:S41"/>
    <mergeCell ref="T41:V41"/>
    <mergeCell ref="W41:Y41"/>
    <mergeCell ref="A41:A42"/>
    <mergeCell ref="E41:G41"/>
    <mergeCell ref="A22:A29"/>
    <mergeCell ref="B22:B29"/>
    <mergeCell ref="H41:J41"/>
    <mergeCell ref="K41:M41"/>
    <mergeCell ref="A30:A36"/>
    <mergeCell ref="A38:AF38"/>
    <mergeCell ref="A39:A40"/>
    <mergeCell ref="B39:B40"/>
    <mergeCell ref="E39:AE40"/>
    <mergeCell ref="Z41:AB41"/>
    <mergeCell ref="N4:P4"/>
    <mergeCell ref="Q4:S4"/>
    <mergeCell ref="E4:G4"/>
    <mergeCell ref="H4:J4"/>
    <mergeCell ref="K4:M4"/>
    <mergeCell ref="A4:A5"/>
    <mergeCell ref="A14:A21"/>
    <mergeCell ref="B14:B21"/>
    <mergeCell ref="A6:A13"/>
    <mergeCell ref="B6:B13"/>
    <mergeCell ref="A1:AF1"/>
    <mergeCell ref="A2:A3"/>
    <mergeCell ref="B2:B3"/>
    <mergeCell ref="E2:AE3"/>
    <mergeCell ref="Z4:AB4"/>
    <mergeCell ref="AC4:AE4"/>
    <mergeCell ref="AF4:AF5"/>
    <mergeCell ref="T4:V4"/>
    <mergeCell ref="W4:Y4"/>
  </mergeCells>
  <printOptions/>
  <pageMargins left="0.88" right="0.75" top="0.98" bottom="0.88" header="0.5" footer="0.5"/>
  <pageSetup horizontalDpi="1200" verticalDpi="12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微软用户</cp:lastModifiedBy>
  <cp:lastPrinted>2009-02-10T09:06:25Z</cp:lastPrinted>
  <dcterms:created xsi:type="dcterms:W3CDTF">1999-04-26T02:03:26Z</dcterms:created>
  <dcterms:modified xsi:type="dcterms:W3CDTF">2009-03-04T09:29:29Z</dcterms:modified>
  <cp:category/>
  <cp:version/>
  <cp:contentType/>
  <cp:contentStatus/>
</cp:coreProperties>
</file>