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060" windowHeight="5130" activeTab="0"/>
  </bookViews>
  <sheets>
    <sheet name="Sheet3" sheetId="1" r:id="rId1"/>
  </sheets>
  <definedNames>
    <definedName name="_xlnm.Print_Area" localSheetId="0">'Sheet3'!$A$1:$AH$90</definedName>
  </definedNames>
  <calcPr fullCalcOnLoad="1"/>
</workbook>
</file>

<file path=xl/sharedStrings.xml><?xml version="1.0" encoding="utf-8"?>
<sst xmlns="http://schemas.openxmlformats.org/spreadsheetml/2006/main" count="145" uniqueCount="77">
  <si>
    <r>
      <t xml:space="preserve">   </t>
    </r>
    <r>
      <rPr>
        <sz val="28"/>
        <rFont val="宋体"/>
        <family val="0"/>
      </rPr>
      <t>1450</t>
    </r>
    <r>
      <rPr>
        <vertAlign val="superscript"/>
        <sz val="28"/>
        <rFont val="宋体"/>
        <family val="0"/>
      </rPr>
      <t>Δ</t>
    </r>
  </si>
  <si>
    <r>
      <t xml:space="preserve">  </t>
    </r>
    <r>
      <rPr>
        <sz val="28"/>
        <rFont val="宋体"/>
        <family val="0"/>
      </rPr>
      <t>730</t>
    </r>
    <r>
      <rPr>
        <vertAlign val="superscript"/>
        <sz val="28"/>
        <rFont val="宋体"/>
        <family val="0"/>
      </rPr>
      <t>Δ</t>
    </r>
  </si>
  <si>
    <r>
      <t xml:space="preserve">  </t>
    </r>
    <r>
      <rPr>
        <sz val="28"/>
        <rFont val="宋体"/>
        <family val="0"/>
      </rPr>
      <t>970</t>
    </r>
    <r>
      <rPr>
        <vertAlign val="superscript"/>
        <sz val="28"/>
        <rFont val="宋体"/>
        <family val="0"/>
      </rPr>
      <t>Δ</t>
    </r>
  </si>
  <si>
    <r>
      <t xml:space="preserve"> </t>
    </r>
    <r>
      <rPr>
        <sz val="28"/>
        <rFont val="宋体"/>
        <family val="0"/>
      </rPr>
      <t>970</t>
    </r>
    <r>
      <rPr>
        <vertAlign val="superscript"/>
        <sz val="28"/>
        <rFont val="宋体"/>
        <family val="0"/>
      </rPr>
      <t>Δ</t>
    </r>
  </si>
  <si>
    <r>
      <t xml:space="preserve"> </t>
    </r>
    <r>
      <rPr>
        <sz val="28"/>
        <rFont val="宋体"/>
        <family val="0"/>
      </rPr>
      <t>730</t>
    </r>
    <r>
      <rPr>
        <vertAlign val="superscript"/>
        <sz val="28"/>
        <rFont val="宋体"/>
        <family val="0"/>
      </rPr>
      <t>Δ</t>
    </r>
  </si>
  <si>
    <r>
      <t xml:space="preserve">   </t>
    </r>
    <r>
      <rPr>
        <sz val="28"/>
        <rFont val="宋体"/>
        <family val="0"/>
      </rPr>
      <t>970</t>
    </r>
    <r>
      <rPr>
        <vertAlign val="superscript"/>
        <sz val="28"/>
        <rFont val="宋体"/>
        <family val="0"/>
      </rPr>
      <t>Δ</t>
    </r>
  </si>
  <si>
    <r>
      <t xml:space="preserve"> </t>
    </r>
    <r>
      <rPr>
        <sz val="28"/>
        <rFont val="宋体"/>
        <family val="0"/>
      </rPr>
      <t>970</t>
    </r>
    <r>
      <rPr>
        <vertAlign val="superscript"/>
        <sz val="28"/>
        <rFont val="宋体"/>
        <family val="0"/>
      </rPr>
      <t>Δ</t>
    </r>
  </si>
  <si>
    <t>JAS-100</t>
  </si>
  <si>
    <t>JAS-125</t>
  </si>
  <si>
    <t>JAS-145</t>
  </si>
  <si>
    <t>JAS-150</t>
  </si>
  <si>
    <t>Speed</t>
  </si>
  <si>
    <r>
      <t>Note:  1</t>
    </r>
    <r>
      <rPr>
        <sz val="36"/>
        <rFont val="宋体"/>
        <family val="0"/>
      </rPr>
      <t>：Δ</t>
    </r>
    <r>
      <rPr>
        <sz val="36"/>
        <rFont val="Times New Roman"/>
        <family val="1"/>
      </rPr>
      <t>indicate the speed of Roots blowers which are direct coupling,the others are belt dirve</t>
    </r>
    <r>
      <rPr>
        <sz val="36"/>
        <rFont val="宋体"/>
        <family val="0"/>
      </rPr>
      <t>。</t>
    </r>
  </si>
  <si>
    <r>
      <t xml:space="preserve">           2</t>
    </r>
    <r>
      <rPr>
        <sz val="36"/>
        <rFont val="宋体"/>
        <family val="0"/>
      </rPr>
      <t>：根据表中配套电机功率</t>
    </r>
    <r>
      <rPr>
        <sz val="36"/>
        <rFont val="Times New Roman"/>
        <family val="1"/>
      </rPr>
      <t>Po</t>
    </r>
    <r>
      <rPr>
        <sz val="36"/>
        <rFont val="宋体"/>
        <family val="0"/>
      </rPr>
      <t>和电机极数</t>
    </r>
    <r>
      <rPr>
        <sz val="36"/>
        <rFont val="Times New Roman"/>
        <family val="1"/>
      </rPr>
      <t>P</t>
    </r>
    <r>
      <rPr>
        <sz val="36"/>
        <rFont val="宋体"/>
        <family val="0"/>
      </rPr>
      <t>可在“电机额定输出功率数据表”中直接查取电机型号。</t>
    </r>
  </si>
  <si>
    <r>
      <t xml:space="preserve">           2</t>
    </r>
    <r>
      <rPr>
        <sz val="36"/>
        <rFont val="宋体"/>
        <family val="0"/>
      </rPr>
      <t>：</t>
    </r>
    <r>
      <rPr>
        <sz val="36"/>
        <rFont val="Times New Roman"/>
        <family val="1"/>
      </rPr>
      <t>Please search the motor type among "Date table for output rating of motor " allording to motor Power Po and motor pole P of matched motors listed in this table</t>
    </r>
    <r>
      <rPr>
        <sz val="36"/>
        <rFont val="宋体"/>
        <family val="0"/>
      </rPr>
      <t>。</t>
    </r>
  </si>
  <si>
    <r>
      <t>JAS系列三叶成组型罗茨鼓风机性能表 Performance Date of JAS Series Roots Blower                续表:table cont(1)</t>
    </r>
    <r>
      <rPr>
        <sz val="48"/>
        <rFont val="Times New Roman"/>
        <family val="1"/>
      </rPr>
      <t xml:space="preserve">                              </t>
    </r>
  </si>
  <si>
    <r>
      <t xml:space="preserve">注：  </t>
    </r>
    <r>
      <rPr>
        <sz val="36"/>
        <rFont val="Times New Roman"/>
        <family val="1"/>
      </rPr>
      <t>1</t>
    </r>
    <r>
      <rPr>
        <sz val="36"/>
        <rFont val="宋体"/>
        <family val="0"/>
      </rPr>
      <t>：Δ所示转速的罗茨鼓风机为直联传动，其余为带联传动；</t>
    </r>
  </si>
  <si>
    <t>Motor pole</t>
  </si>
  <si>
    <t>Motor pole</t>
  </si>
  <si>
    <t>Thero volume</t>
  </si>
  <si>
    <t xml:space="preserve">性能表 Performance table                                                                                     表1                                                                  </t>
  </si>
  <si>
    <t>理论流量</t>
  </si>
  <si>
    <t>转速</t>
  </si>
  <si>
    <t>风机型号</t>
  </si>
  <si>
    <r>
      <t xml:space="preserve">                   </t>
    </r>
    <r>
      <rPr>
        <sz val="28"/>
        <rFont val="宋体"/>
        <family val="0"/>
      </rPr>
      <t>各排气压力下的进口流量</t>
    </r>
    <r>
      <rPr>
        <sz val="28"/>
        <rFont val="Times New Roman"/>
        <family val="1"/>
      </rPr>
      <t>Qs(m</t>
    </r>
    <r>
      <rPr>
        <vertAlign val="superscript"/>
        <sz val="28"/>
        <rFont val="Times New Roman"/>
        <family val="1"/>
      </rPr>
      <t>3</t>
    </r>
    <r>
      <rPr>
        <sz val="28"/>
        <rFont val="Times New Roman"/>
        <family val="1"/>
      </rPr>
      <t>/min),</t>
    </r>
    <r>
      <rPr>
        <sz val="28"/>
        <rFont val="宋体"/>
        <family val="0"/>
      </rPr>
      <t>所需轴功率</t>
    </r>
    <r>
      <rPr>
        <sz val="28"/>
        <rFont val="Times New Roman"/>
        <family val="1"/>
      </rPr>
      <t>La(kW)</t>
    </r>
    <r>
      <rPr>
        <sz val="28"/>
        <rFont val="宋体"/>
        <family val="0"/>
      </rPr>
      <t>及所配电机功率</t>
    </r>
    <r>
      <rPr>
        <sz val="28"/>
        <rFont val="Times New Roman"/>
        <family val="1"/>
      </rPr>
      <t xml:space="preserve">Po(kW) </t>
    </r>
  </si>
  <si>
    <r>
      <t>Inlet volume Qs(m</t>
    </r>
    <r>
      <rPr>
        <vertAlign val="superscript"/>
        <sz val="28"/>
        <rFont val="Times New Roman"/>
        <family val="1"/>
      </rPr>
      <t>3</t>
    </r>
    <r>
      <rPr>
        <sz val="28"/>
        <rFont val="Times New Roman"/>
        <family val="1"/>
      </rPr>
      <t>/min) shaft power required La (kW) and motor power Po(kW) at each discharge pressure</t>
    </r>
  </si>
  <si>
    <t>Type</t>
  </si>
  <si>
    <t>JAS-80</t>
  </si>
  <si>
    <t>r/min</t>
  </si>
  <si>
    <t>m3/min</t>
  </si>
  <si>
    <t>9.8kPa</t>
  </si>
  <si>
    <t>19.6kPa</t>
  </si>
  <si>
    <t>29.4kPa</t>
  </si>
  <si>
    <t>39.2kPa</t>
  </si>
  <si>
    <t>49.0kPa</t>
  </si>
  <si>
    <t>58.8kPa</t>
  </si>
  <si>
    <t>68.6kPa</t>
  </si>
  <si>
    <t>78.4kPa</t>
  </si>
  <si>
    <t>88.2kPa</t>
  </si>
  <si>
    <t>98.0kPa</t>
  </si>
  <si>
    <t>n</t>
  </si>
  <si>
    <t>Qth</t>
  </si>
  <si>
    <t>Qs</t>
  </si>
  <si>
    <t>La</t>
  </si>
  <si>
    <t>Po</t>
  </si>
  <si>
    <t>P</t>
  </si>
  <si>
    <t>电机</t>
  </si>
  <si>
    <t>极数</t>
  </si>
  <si>
    <t>风机型号</t>
  </si>
  <si>
    <t>转速</t>
  </si>
  <si>
    <t>理论流量</t>
  </si>
  <si>
    <t>电机</t>
  </si>
  <si>
    <t>Speed</t>
  </si>
  <si>
    <t>Thero volume</t>
  </si>
  <si>
    <t>极数</t>
  </si>
  <si>
    <t>r/min</t>
  </si>
  <si>
    <r>
      <t>m</t>
    </r>
    <r>
      <rPr>
        <vertAlign val="superscript"/>
        <sz val="28"/>
        <rFont val="Times New Roman"/>
        <family val="1"/>
      </rPr>
      <t>3</t>
    </r>
    <r>
      <rPr>
        <sz val="28"/>
        <rFont val="Times New Roman"/>
        <family val="1"/>
      </rPr>
      <t>/min</t>
    </r>
  </si>
  <si>
    <t>9.8kPa</t>
  </si>
  <si>
    <t>19.6kPa</t>
  </si>
  <si>
    <t>29.4kPa</t>
  </si>
  <si>
    <t>39.2kPa</t>
  </si>
  <si>
    <t>49.0kPa</t>
  </si>
  <si>
    <t>58.8kPa</t>
  </si>
  <si>
    <t>68.6kPa</t>
  </si>
  <si>
    <t>78.4kPa</t>
  </si>
  <si>
    <t>88.2kPa</t>
  </si>
  <si>
    <t>98.0kPa</t>
  </si>
  <si>
    <t>n</t>
  </si>
  <si>
    <t>Qth</t>
  </si>
  <si>
    <t>Qs</t>
  </si>
  <si>
    <t>La</t>
  </si>
  <si>
    <t>Po</t>
  </si>
  <si>
    <t>P</t>
  </si>
  <si>
    <t>JAS-190</t>
  </si>
  <si>
    <t>JAS-195</t>
  </si>
  <si>
    <t>JAS-200</t>
  </si>
  <si>
    <t>JAS-250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</si>
</sst>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0_ "/>
    <numFmt numFmtId="180" formatCode="0.00_);[Red]\(0.00\)"/>
  </numFmts>
  <fonts count="15">
    <font>
      <sz val="12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36"/>
      <name val="宋体"/>
      <family val="0"/>
    </font>
    <font>
      <sz val="28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48"/>
      <name val="黑体"/>
      <family val="0"/>
    </font>
    <font>
      <vertAlign val="superscript"/>
      <sz val="28"/>
      <name val="宋体"/>
      <family val="0"/>
    </font>
    <font>
      <sz val="18"/>
      <name val="宋体"/>
      <family val="0"/>
    </font>
    <font>
      <sz val="20"/>
      <name val="Times New Roman"/>
      <family val="1"/>
    </font>
    <font>
      <sz val="28"/>
      <color indexed="10"/>
      <name val="宋体"/>
      <family val="0"/>
    </font>
    <font>
      <b/>
      <sz val="28"/>
      <color indexed="10"/>
      <name val="宋体"/>
      <family val="0"/>
    </font>
    <font>
      <b/>
      <sz val="28"/>
      <name val="宋体"/>
      <family val="0"/>
    </font>
    <font>
      <vertAlign val="superscript"/>
      <sz val="28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Dashed"/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Dashed"/>
      <top style="medium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thin"/>
      <top style="mediumDashed"/>
      <bottom>
        <color indexed="63"/>
      </bottom>
    </border>
    <border>
      <left style="mediumDashed"/>
      <right style="thin"/>
      <top>
        <color indexed="63"/>
      </top>
      <bottom style="mediumDashed"/>
    </border>
    <border>
      <left style="mediumDashed"/>
      <right style="thin"/>
      <top style="medium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Dashed"/>
      <right style="thin"/>
      <top style="mediumDashed"/>
      <bottom style="mediumDashed"/>
    </border>
    <border>
      <left style="mediumDashed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4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46</xdr:row>
      <xdr:rowOff>171450</xdr:rowOff>
    </xdr:from>
    <xdr:to>
      <xdr:col>30</xdr:col>
      <xdr:colOff>76200</xdr:colOff>
      <xdr:row>46</xdr:row>
      <xdr:rowOff>171450</xdr:rowOff>
    </xdr:to>
    <xdr:sp>
      <xdr:nvSpPr>
        <xdr:cNvPr id="1" name="Line 3"/>
        <xdr:cNvSpPr>
          <a:spLocks/>
        </xdr:cNvSpPr>
      </xdr:nvSpPr>
      <xdr:spPr>
        <a:xfrm>
          <a:off x="32575500" y="26012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47625</xdr:colOff>
      <xdr:row>47</xdr:row>
      <xdr:rowOff>171450</xdr:rowOff>
    </xdr:from>
    <xdr:to>
      <xdr:col>30</xdr:col>
      <xdr:colOff>76200</xdr:colOff>
      <xdr:row>47</xdr:row>
      <xdr:rowOff>171450</xdr:rowOff>
    </xdr:to>
    <xdr:sp>
      <xdr:nvSpPr>
        <xdr:cNvPr id="2" name="Line 4"/>
        <xdr:cNvSpPr>
          <a:spLocks/>
        </xdr:cNvSpPr>
      </xdr:nvSpPr>
      <xdr:spPr>
        <a:xfrm>
          <a:off x="32575500" y="26546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47625</xdr:colOff>
      <xdr:row>52</xdr:row>
      <xdr:rowOff>171450</xdr:rowOff>
    </xdr:from>
    <xdr:to>
      <xdr:col>30</xdr:col>
      <xdr:colOff>76200</xdr:colOff>
      <xdr:row>52</xdr:row>
      <xdr:rowOff>171450</xdr:rowOff>
    </xdr:to>
    <xdr:sp>
      <xdr:nvSpPr>
        <xdr:cNvPr id="3" name="Line 7"/>
        <xdr:cNvSpPr>
          <a:spLocks/>
        </xdr:cNvSpPr>
      </xdr:nvSpPr>
      <xdr:spPr>
        <a:xfrm>
          <a:off x="32575500" y="289560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47625</xdr:colOff>
      <xdr:row>53</xdr:row>
      <xdr:rowOff>171450</xdr:rowOff>
    </xdr:from>
    <xdr:to>
      <xdr:col>30</xdr:col>
      <xdr:colOff>76200</xdr:colOff>
      <xdr:row>53</xdr:row>
      <xdr:rowOff>171450</xdr:rowOff>
    </xdr:to>
    <xdr:sp>
      <xdr:nvSpPr>
        <xdr:cNvPr id="4" name="Line 8"/>
        <xdr:cNvSpPr>
          <a:spLocks/>
        </xdr:cNvSpPr>
      </xdr:nvSpPr>
      <xdr:spPr>
        <a:xfrm>
          <a:off x="32575500" y="29489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tabSelected="1" zoomScale="50" zoomScaleNormal="50" workbookViewId="0" topLeftCell="L43">
      <selection activeCell="AA50" sqref="AA50"/>
    </sheetView>
  </sheetViews>
  <sheetFormatPr defaultColWidth="9.00390625" defaultRowHeight="14.25"/>
  <cols>
    <col min="1" max="1" width="25.125" style="0" customWidth="1"/>
    <col min="2" max="2" width="15.25390625" style="0" customWidth="1"/>
    <col min="3" max="3" width="18.625" style="0" customWidth="1"/>
    <col min="4" max="5" width="14.125" style="0" customWidth="1"/>
    <col min="6" max="6" width="12.625" style="0" customWidth="1"/>
    <col min="7" max="8" width="14.125" style="0" customWidth="1"/>
    <col min="9" max="9" width="12.625" style="0" customWidth="1"/>
    <col min="10" max="11" width="14.125" style="0" customWidth="1"/>
    <col min="12" max="12" width="12.625" style="0" customWidth="1"/>
    <col min="13" max="14" width="14.125" style="0" customWidth="1"/>
    <col min="15" max="15" width="12.625" style="0" customWidth="1"/>
    <col min="16" max="17" width="14.125" style="0" customWidth="1"/>
    <col min="18" max="18" width="12.625" style="0" customWidth="1"/>
    <col min="19" max="20" width="14.125" style="0" customWidth="1"/>
    <col min="21" max="21" width="12.625" style="0" customWidth="1"/>
    <col min="22" max="23" width="14.125" style="0" customWidth="1"/>
    <col min="24" max="24" width="12.625" style="0" customWidth="1"/>
    <col min="25" max="26" width="14.125" style="0" customWidth="1"/>
    <col min="27" max="27" width="12.625" style="0" customWidth="1"/>
    <col min="28" max="29" width="14.125" style="0" customWidth="1"/>
    <col min="30" max="30" width="12.625" style="0" customWidth="1"/>
    <col min="31" max="32" width="14.125" style="0" customWidth="1"/>
    <col min="33" max="33" width="12.625" style="0" customWidth="1"/>
    <col min="34" max="34" width="16.125" style="0" customWidth="1"/>
  </cols>
  <sheetData>
    <row r="1" spans="1:34" ht="66.75" customHeight="1" thickBot="1">
      <c r="A1" s="125" t="s">
        <v>20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</row>
    <row r="2" spans="1:34" ht="41.25">
      <c r="A2" s="107" t="s">
        <v>23</v>
      </c>
      <c r="B2" s="81" t="s">
        <v>22</v>
      </c>
      <c r="C2" s="81" t="s">
        <v>21</v>
      </c>
      <c r="D2" s="109" t="s">
        <v>24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1"/>
      <c r="AH2" s="83" t="s">
        <v>46</v>
      </c>
    </row>
    <row r="3" spans="1:34" ht="49.5" customHeight="1">
      <c r="A3" s="108"/>
      <c r="B3" s="12" t="s">
        <v>11</v>
      </c>
      <c r="C3" s="85" t="s">
        <v>19</v>
      </c>
      <c r="D3" s="112" t="s">
        <v>25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4"/>
      <c r="AH3" s="84" t="s">
        <v>47</v>
      </c>
    </row>
    <row r="4" spans="1:34" ht="49.5" customHeight="1">
      <c r="A4" s="105" t="s">
        <v>26</v>
      </c>
      <c r="B4" s="12" t="s">
        <v>28</v>
      </c>
      <c r="C4" s="12" t="s">
        <v>29</v>
      </c>
      <c r="D4" s="115" t="s">
        <v>30</v>
      </c>
      <c r="E4" s="116"/>
      <c r="F4" s="116"/>
      <c r="G4" s="115" t="s">
        <v>31</v>
      </c>
      <c r="H4" s="116"/>
      <c r="I4" s="116"/>
      <c r="J4" s="115" t="s">
        <v>32</v>
      </c>
      <c r="K4" s="116"/>
      <c r="L4" s="116"/>
      <c r="M4" s="115" t="s">
        <v>33</v>
      </c>
      <c r="N4" s="116"/>
      <c r="O4" s="116"/>
      <c r="P4" s="115" t="s">
        <v>34</v>
      </c>
      <c r="Q4" s="116"/>
      <c r="R4" s="116"/>
      <c r="S4" s="115" t="s">
        <v>35</v>
      </c>
      <c r="T4" s="116"/>
      <c r="U4" s="116"/>
      <c r="V4" s="115" t="s">
        <v>36</v>
      </c>
      <c r="W4" s="116"/>
      <c r="X4" s="116"/>
      <c r="Y4" s="115" t="s">
        <v>37</v>
      </c>
      <c r="Z4" s="116"/>
      <c r="AA4" s="116"/>
      <c r="AB4" s="115" t="s">
        <v>38</v>
      </c>
      <c r="AC4" s="116"/>
      <c r="AD4" s="116"/>
      <c r="AE4" s="115" t="s">
        <v>39</v>
      </c>
      <c r="AF4" s="116"/>
      <c r="AG4" s="122"/>
      <c r="AH4" s="34" t="s">
        <v>18</v>
      </c>
    </row>
    <row r="5" spans="1:37" ht="49.5" customHeight="1">
      <c r="A5" s="132"/>
      <c r="B5" s="9" t="s">
        <v>40</v>
      </c>
      <c r="C5" s="9" t="s">
        <v>41</v>
      </c>
      <c r="D5" s="9" t="s">
        <v>42</v>
      </c>
      <c r="E5" s="9" t="s">
        <v>43</v>
      </c>
      <c r="F5" s="9" t="s">
        <v>44</v>
      </c>
      <c r="G5" s="9" t="s">
        <v>42</v>
      </c>
      <c r="H5" s="9" t="s">
        <v>43</v>
      </c>
      <c r="I5" s="9" t="s">
        <v>44</v>
      </c>
      <c r="J5" s="9" t="s">
        <v>42</v>
      </c>
      <c r="K5" s="9" t="s">
        <v>43</v>
      </c>
      <c r="L5" s="9" t="s">
        <v>44</v>
      </c>
      <c r="M5" s="9" t="s">
        <v>42</v>
      </c>
      <c r="N5" s="9" t="s">
        <v>43</v>
      </c>
      <c r="O5" s="9" t="s">
        <v>44</v>
      </c>
      <c r="P5" s="9" t="s">
        <v>42</v>
      </c>
      <c r="Q5" s="9" t="s">
        <v>43</v>
      </c>
      <c r="R5" s="9" t="s">
        <v>44</v>
      </c>
      <c r="S5" s="9" t="s">
        <v>42</v>
      </c>
      <c r="T5" s="9" t="s">
        <v>43</v>
      </c>
      <c r="U5" s="9" t="s">
        <v>44</v>
      </c>
      <c r="V5" s="9" t="s">
        <v>42</v>
      </c>
      <c r="W5" s="9" t="s">
        <v>43</v>
      </c>
      <c r="X5" s="9" t="s">
        <v>44</v>
      </c>
      <c r="Y5" s="9" t="s">
        <v>42</v>
      </c>
      <c r="Z5" s="9" t="s">
        <v>43</v>
      </c>
      <c r="AA5" s="9" t="s">
        <v>44</v>
      </c>
      <c r="AB5" s="9" t="s">
        <v>42</v>
      </c>
      <c r="AC5" s="9" t="s">
        <v>43</v>
      </c>
      <c r="AD5" s="9" t="s">
        <v>44</v>
      </c>
      <c r="AE5" s="9" t="s">
        <v>42</v>
      </c>
      <c r="AF5" s="9" t="s">
        <v>43</v>
      </c>
      <c r="AG5" s="9" t="s">
        <v>44</v>
      </c>
      <c r="AH5" s="82" t="s">
        <v>45</v>
      </c>
      <c r="AK5" s="13"/>
    </row>
    <row r="6" spans="1:34" ht="45" customHeight="1">
      <c r="A6" s="128" t="s">
        <v>27</v>
      </c>
      <c r="B6" s="4">
        <v>1150</v>
      </c>
      <c r="C6" s="21">
        <v>4.65</v>
      </c>
      <c r="D6" s="60">
        <f>3.18+0.18</f>
        <v>3.3600000000000003</v>
      </c>
      <c r="E6" s="64">
        <v>1.3</v>
      </c>
      <c r="F6" s="4">
        <v>2.2</v>
      </c>
      <c r="G6" s="60">
        <f>2.83+0.18</f>
        <v>3.0100000000000002</v>
      </c>
      <c r="H6" s="64">
        <v>2.1</v>
      </c>
      <c r="I6" s="4">
        <v>3</v>
      </c>
      <c r="J6" s="60">
        <f>2.53+0.18</f>
        <v>2.71</v>
      </c>
      <c r="K6" s="64">
        <v>2.8</v>
      </c>
      <c r="L6" s="4">
        <v>4</v>
      </c>
      <c r="M6" s="60">
        <f>2.28+0.18</f>
        <v>2.46</v>
      </c>
      <c r="N6" s="64">
        <v>3.5</v>
      </c>
      <c r="O6" s="4">
        <v>5.5</v>
      </c>
      <c r="P6" s="60">
        <f>2.03+0.18</f>
        <v>2.21</v>
      </c>
      <c r="Q6" s="64">
        <v>4.3</v>
      </c>
      <c r="R6" s="4">
        <v>5.5</v>
      </c>
      <c r="S6" s="77">
        <f>1.83+0.18</f>
        <v>2.0100000000000002</v>
      </c>
      <c r="T6" s="50">
        <v>5</v>
      </c>
      <c r="U6" s="4">
        <v>7.5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9">
        <v>4</v>
      </c>
    </row>
    <row r="7" spans="1:34" ht="45" customHeight="1">
      <c r="A7" s="130"/>
      <c r="B7" s="2">
        <v>1450</v>
      </c>
      <c r="C7" s="2">
        <v>5.88</v>
      </c>
      <c r="D7" s="61">
        <f>4.36+0.23</f>
        <v>4.590000000000001</v>
      </c>
      <c r="E7" s="65">
        <v>1.6</v>
      </c>
      <c r="F7" s="2">
        <v>2.2</v>
      </c>
      <c r="G7" s="61">
        <f>4.01+0.23</f>
        <v>4.24</v>
      </c>
      <c r="H7" s="65">
        <v>2.6</v>
      </c>
      <c r="I7" s="2">
        <v>4</v>
      </c>
      <c r="J7" s="61">
        <f>3.71+0.23</f>
        <v>3.94</v>
      </c>
      <c r="K7" s="65">
        <v>3.6</v>
      </c>
      <c r="L7" s="2">
        <v>5.5</v>
      </c>
      <c r="M7" s="61">
        <f>3.46+0.23</f>
        <v>3.69</v>
      </c>
      <c r="N7" s="65">
        <v>4.5</v>
      </c>
      <c r="O7" s="2">
        <v>5.5</v>
      </c>
      <c r="P7" s="61">
        <f>3.21+0.23</f>
        <v>3.44</v>
      </c>
      <c r="Q7" s="65">
        <v>5.5</v>
      </c>
      <c r="R7" s="2">
        <v>7.5</v>
      </c>
      <c r="S7" s="59">
        <f>3.01+0.23</f>
        <v>3.2399999999999998</v>
      </c>
      <c r="T7" s="51">
        <v>6.5</v>
      </c>
      <c r="U7" s="2">
        <v>7.5</v>
      </c>
      <c r="V7" s="59">
        <f>2.86+0.23</f>
        <v>3.09</v>
      </c>
      <c r="W7" s="51">
        <v>7.5</v>
      </c>
      <c r="X7" s="2">
        <v>11</v>
      </c>
      <c r="Y7" s="2"/>
      <c r="Z7" s="2"/>
      <c r="AA7" s="2"/>
      <c r="AB7" s="2"/>
      <c r="AC7" s="2"/>
      <c r="AD7" s="2"/>
      <c r="AE7" s="2"/>
      <c r="AF7" s="2"/>
      <c r="AG7" s="2"/>
      <c r="AH7" s="28">
        <v>4</v>
      </c>
    </row>
    <row r="8" spans="1:34" ht="45" customHeight="1">
      <c r="A8" s="130"/>
      <c r="B8" s="2">
        <v>1750</v>
      </c>
      <c r="C8" s="2">
        <v>7.09</v>
      </c>
      <c r="D8" s="61">
        <v>5.8</v>
      </c>
      <c r="E8" s="65">
        <v>2</v>
      </c>
      <c r="F8" s="2">
        <v>3</v>
      </c>
      <c r="G8" s="61">
        <f>5.18+0.27</f>
        <v>5.449999999999999</v>
      </c>
      <c r="H8" s="65">
        <v>3.1</v>
      </c>
      <c r="I8" s="2">
        <v>4</v>
      </c>
      <c r="J8" s="61">
        <f>4.88+0.27</f>
        <v>5.15</v>
      </c>
      <c r="K8" s="65">
        <v>4.3</v>
      </c>
      <c r="L8" s="2">
        <v>5.5</v>
      </c>
      <c r="M8" s="61">
        <f>4.63+0.27</f>
        <v>4.9</v>
      </c>
      <c r="N8" s="65">
        <v>5.4</v>
      </c>
      <c r="O8" s="2">
        <v>7.5</v>
      </c>
      <c r="P8" s="61">
        <f>4.38+0.27</f>
        <v>4.65</v>
      </c>
      <c r="Q8" s="65">
        <v>6.5</v>
      </c>
      <c r="R8" s="2">
        <v>7.5</v>
      </c>
      <c r="S8" s="59">
        <f>4.18+0.27</f>
        <v>4.449999999999999</v>
      </c>
      <c r="T8" s="51">
        <v>7.7</v>
      </c>
      <c r="U8" s="2">
        <v>11</v>
      </c>
      <c r="V8" s="59">
        <f>4.03+0.27</f>
        <v>4.300000000000001</v>
      </c>
      <c r="W8" s="51">
        <v>8.9</v>
      </c>
      <c r="X8" s="22">
        <v>11</v>
      </c>
      <c r="Y8" s="59">
        <f>3.88+0.27</f>
        <v>4.15</v>
      </c>
      <c r="Z8" s="51">
        <v>10</v>
      </c>
      <c r="AA8" s="2">
        <v>15</v>
      </c>
      <c r="AB8" s="22"/>
      <c r="AC8" s="2"/>
      <c r="AD8" s="2"/>
      <c r="AE8" s="2"/>
      <c r="AF8" s="2"/>
      <c r="AG8" s="2"/>
      <c r="AH8" s="30">
        <v>4</v>
      </c>
    </row>
    <row r="9" spans="1:34" ht="45" customHeight="1">
      <c r="A9" s="130"/>
      <c r="B9" s="2">
        <v>2000</v>
      </c>
      <c r="C9" s="2">
        <v>8.01</v>
      </c>
      <c r="D9" s="61">
        <f>6.5+0.31</f>
        <v>6.81</v>
      </c>
      <c r="E9" s="65">
        <v>2.3</v>
      </c>
      <c r="F9" s="2">
        <v>3</v>
      </c>
      <c r="G9" s="61">
        <f>6.15+0.31</f>
        <v>6.46</v>
      </c>
      <c r="H9" s="65">
        <v>3.6</v>
      </c>
      <c r="I9" s="2">
        <v>5.5</v>
      </c>
      <c r="J9" s="61">
        <f>5.85+0.31</f>
        <v>6.159999999999999</v>
      </c>
      <c r="K9" s="65">
        <v>4.9</v>
      </c>
      <c r="L9" s="2">
        <v>7.5</v>
      </c>
      <c r="M9" s="61">
        <f>5.6+0.31</f>
        <v>5.909999999999999</v>
      </c>
      <c r="N9" s="65">
        <v>6.2</v>
      </c>
      <c r="O9" s="2">
        <v>7.5</v>
      </c>
      <c r="P9" s="61">
        <f>5.35+0.31</f>
        <v>5.659999999999999</v>
      </c>
      <c r="Q9" s="65">
        <v>7.5</v>
      </c>
      <c r="R9" s="2">
        <v>11</v>
      </c>
      <c r="S9" s="59">
        <f>5.15+0.31</f>
        <v>5.46</v>
      </c>
      <c r="T9" s="51">
        <v>8.8</v>
      </c>
      <c r="U9" s="2">
        <v>11</v>
      </c>
      <c r="V9" s="59">
        <f>5+0.31</f>
        <v>5.31</v>
      </c>
      <c r="W9" s="51">
        <v>10.1</v>
      </c>
      <c r="X9" s="22">
        <v>15</v>
      </c>
      <c r="Y9" s="59">
        <f>4.85+0.31</f>
        <v>5.159999999999999</v>
      </c>
      <c r="Z9" s="51">
        <v>11.4</v>
      </c>
      <c r="AA9" s="2">
        <v>15</v>
      </c>
      <c r="AB9" s="22"/>
      <c r="AC9" s="2"/>
      <c r="AD9" s="2"/>
      <c r="AE9" s="2"/>
      <c r="AF9" s="2"/>
      <c r="AG9" s="2"/>
      <c r="AH9" s="41">
        <v>2</v>
      </c>
    </row>
    <row r="10" spans="1:34" ht="45" customHeight="1">
      <c r="A10" s="131"/>
      <c r="B10" s="3">
        <v>2500</v>
      </c>
      <c r="C10" s="25">
        <v>10.1</v>
      </c>
      <c r="D10" s="62">
        <f>8.4+0.39</f>
        <v>8.790000000000001</v>
      </c>
      <c r="E10" s="67">
        <v>2.9</v>
      </c>
      <c r="F10" s="3">
        <v>4</v>
      </c>
      <c r="G10" s="62">
        <v>8.5</v>
      </c>
      <c r="H10" s="67">
        <v>4.6</v>
      </c>
      <c r="I10" s="3">
        <v>5.5</v>
      </c>
      <c r="J10" s="62">
        <f>7.81+0.39</f>
        <v>8.2</v>
      </c>
      <c r="K10" s="67">
        <v>6.2</v>
      </c>
      <c r="L10" s="3">
        <v>7.5</v>
      </c>
      <c r="M10" s="62">
        <f>7.56+0.39</f>
        <v>7.949999999999999</v>
      </c>
      <c r="N10" s="67">
        <v>7.9</v>
      </c>
      <c r="O10" s="3">
        <v>11</v>
      </c>
      <c r="P10" s="62">
        <f>7.31+0.39</f>
        <v>7.699999999999999</v>
      </c>
      <c r="Q10" s="67">
        <v>9.5</v>
      </c>
      <c r="R10" s="3">
        <v>11</v>
      </c>
      <c r="S10" s="102">
        <f>7.11+0.39</f>
        <v>7.5</v>
      </c>
      <c r="T10" s="52">
        <v>11.2</v>
      </c>
      <c r="U10" s="3">
        <v>15</v>
      </c>
      <c r="V10" s="102">
        <f>6.96+0.39</f>
        <v>7.35</v>
      </c>
      <c r="W10" s="52">
        <v>12.9</v>
      </c>
      <c r="X10" s="16">
        <v>15</v>
      </c>
      <c r="Y10" s="102">
        <f>6.81+0.39</f>
        <v>7.199999999999999</v>
      </c>
      <c r="Z10" s="52">
        <v>14.5</v>
      </c>
      <c r="AA10" s="3">
        <v>18.5</v>
      </c>
      <c r="AB10" s="16"/>
      <c r="AC10" s="3"/>
      <c r="AD10" s="3"/>
      <c r="AE10" s="3"/>
      <c r="AF10" s="3"/>
      <c r="AG10" s="3"/>
      <c r="AH10" s="30">
        <v>2</v>
      </c>
    </row>
    <row r="11" spans="1:34" ht="45" customHeight="1">
      <c r="A11" s="128" t="s">
        <v>7</v>
      </c>
      <c r="B11" s="2">
        <v>1150</v>
      </c>
      <c r="C11" s="24">
        <v>6.57</v>
      </c>
      <c r="D11" s="61">
        <f>4.86+0.25</f>
        <v>5.11</v>
      </c>
      <c r="E11" s="65">
        <v>1.8</v>
      </c>
      <c r="F11" s="39">
        <v>3</v>
      </c>
      <c r="G11" s="61">
        <f>4.47+0.25</f>
        <v>4.72</v>
      </c>
      <c r="H11" s="65">
        <v>2.9</v>
      </c>
      <c r="I11" s="2">
        <v>4</v>
      </c>
      <c r="J11" s="61">
        <f>4.13+0.25</f>
        <v>4.38</v>
      </c>
      <c r="K11" s="65">
        <v>3.9</v>
      </c>
      <c r="L11" s="2">
        <v>5.5</v>
      </c>
      <c r="M11" s="61">
        <f>3.83+0.25</f>
        <v>4.08</v>
      </c>
      <c r="N11" s="65">
        <v>5</v>
      </c>
      <c r="O11" s="2">
        <v>7.5</v>
      </c>
      <c r="P11" s="61">
        <f>3.56+0.25</f>
        <v>3.81</v>
      </c>
      <c r="Q11" s="65">
        <v>6.1</v>
      </c>
      <c r="R11" s="2">
        <v>7.5</v>
      </c>
      <c r="S11" s="59">
        <f>3.33+0.25</f>
        <v>3.58</v>
      </c>
      <c r="T11" s="51">
        <v>7.2</v>
      </c>
      <c r="U11" s="2">
        <v>11</v>
      </c>
      <c r="V11" s="59">
        <f>3.13+0.25</f>
        <v>3.38</v>
      </c>
      <c r="W11" s="51">
        <v>8.3</v>
      </c>
      <c r="X11" s="2">
        <v>11</v>
      </c>
      <c r="Y11" s="2"/>
      <c r="Z11" s="2"/>
      <c r="AA11" s="2"/>
      <c r="AB11" s="2"/>
      <c r="AC11" s="2"/>
      <c r="AD11" s="2"/>
      <c r="AE11" s="2"/>
      <c r="AF11" s="2"/>
      <c r="AG11" s="2"/>
      <c r="AH11" s="29">
        <v>4</v>
      </c>
    </row>
    <row r="12" spans="1:34" ht="45" customHeight="1">
      <c r="A12" s="128"/>
      <c r="B12" s="2">
        <v>1450</v>
      </c>
      <c r="C12" s="2">
        <v>8.29</v>
      </c>
      <c r="D12" s="61">
        <f>6.52+0.32</f>
        <v>6.84</v>
      </c>
      <c r="E12" s="65">
        <v>2.3</v>
      </c>
      <c r="F12" s="2">
        <v>3</v>
      </c>
      <c r="G12" s="61">
        <f>6.13+0.32</f>
        <v>6.45</v>
      </c>
      <c r="H12" s="65">
        <v>3.6</v>
      </c>
      <c r="I12" s="2">
        <v>5.5</v>
      </c>
      <c r="J12" s="61">
        <f>5.79+0.32</f>
        <v>6.11</v>
      </c>
      <c r="K12" s="65">
        <v>4.9</v>
      </c>
      <c r="L12" s="2">
        <v>7.5</v>
      </c>
      <c r="M12" s="61">
        <f>5.49+0.32</f>
        <v>5.8100000000000005</v>
      </c>
      <c r="N12" s="65">
        <v>6.3</v>
      </c>
      <c r="O12" s="2">
        <v>7.5</v>
      </c>
      <c r="P12" s="61">
        <f>5.22+0.32</f>
        <v>5.54</v>
      </c>
      <c r="Q12" s="65">
        <v>7.6</v>
      </c>
      <c r="R12" s="2">
        <v>11</v>
      </c>
      <c r="S12" s="59">
        <f>4.99+0.32</f>
        <v>5.3100000000000005</v>
      </c>
      <c r="T12" s="51">
        <v>9</v>
      </c>
      <c r="U12" s="2">
        <v>11</v>
      </c>
      <c r="V12" s="59">
        <f>4.79+0.32</f>
        <v>5.11</v>
      </c>
      <c r="W12" s="51">
        <v>10.3</v>
      </c>
      <c r="X12" s="22">
        <v>15</v>
      </c>
      <c r="Y12" s="2"/>
      <c r="Z12" s="2"/>
      <c r="AA12" s="2"/>
      <c r="AB12" s="2"/>
      <c r="AC12" s="2"/>
      <c r="AD12" s="2"/>
      <c r="AE12" s="24"/>
      <c r="AF12" s="2"/>
      <c r="AG12" s="2"/>
      <c r="AH12" s="28">
        <v>4</v>
      </c>
    </row>
    <row r="13" spans="1:34" ht="45" customHeight="1">
      <c r="A13" s="128"/>
      <c r="B13" s="2">
        <v>1750</v>
      </c>
      <c r="C13" s="65">
        <v>10</v>
      </c>
      <c r="D13" s="61">
        <f>8.17+0.39</f>
        <v>8.56</v>
      </c>
      <c r="E13" s="65">
        <v>2.7</v>
      </c>
      <c r="F13" s="2">
        <v>4</v>
      </c>
      <c r="G13" s="61">
        <f>7.78+0.39</f>
        <v>8.17</v>
      </c>
      <c r="H13" s="65">
        <v>4.3</v>
      </c>
      <c r="I13" s="2">
        <v>5.5</v>
      </c>
      <c r="J13" s="61">
        <f>7.44+0.39</f>
        <v>7.83</v>
      </c>
      <c r="K13" s="65">
        <v>5.9</v>
      </c>
      <c r="L13" s="2">
        <v>7.5</v>
      </c>
      <c r="M13" s="61">
        <f>7.14+0.39</f>
        <v>7.529999999999999</v>
      </c>
      <c r="N13" s="65">
        <v>7.4</v>
      </c>
      <c r="O13" s="2">
        <v>11</v>
      </c>
      <c r="P13" s="61">
        <f>6.87+0.39</f>
        <v>7.26</v>
      </c>
      <c r="Q13" s="65">
        <v>9</v>
      </c>
      <c r="R13" s="2">
        <v>11</v>
      </c>
      <c r="S13" s="59">
        <f>6.64+0.39</f>
        <v>7.029999999999999</v>
      </c>
      <c r="T13" s="51">
        <v>10.7</v>
      </c>
      <c r="U13" s="2">
        <v>15</v>
      </c>
      <c r="V13" s="59">
        <f>6.44+0.39</f>
        <v>6.83</v>
      </c>
      <c r="W13" s="51">
        <v>12.3</v>
      </c>
      <c r="X13" s="22">
        <v>15</v>
      </c>
      <c r="Y13" s="2"/>
      <c r="Z13" s="2"/>
      <c r="AA13" s="2"/>
      <c r="AB13" s="2"/>
      <c r="AC13" s="2"/>
      <c r="AD13" s="2"/>
      <c r="AE13" s="24"/>
      <c r="AF13" s="2"/>
      <c r="AG13" s="2"/>
      <c r="AH13" s="28">
        <v>4</v>
      </c>
    </row>
    <row r="14" spans="1:34" ht="45" customHeight="1">
      <c r="A14" s="128"/>
      <c r="B14" s="2">
        <v>2000</v>
      </c>
      <c r="C14" s="65">
        <v>11.4</v>
      </c>
      <c r="D14" s="61">
        <f>9.55+0.44</f>
        <v>9.99</v>
      </c>
      <c r="E14" s="65">
        <v>3</v>
      </c>
      <c r="F14" s="2">
        <v>4</v>
      </c>
      <c r="G14" s="61">
        <f>9.16+0.44</f>
        <v>9.6</v>
      </c>
      <c r="H14" s="65">
        <v>4.8</v>
      </c>
      <c r="I14" s="2">
        <v>7.5</v>
      </c>
      <c r="J14" s="61">
        <f>8.82+0.44</f>
        <v>9.26</v>
      </c>
      <c r="K14" s="65">
        <v>6.7</v>
      </c>
      <c r="L14" s="39">
        <v>11</v>
      </c>
      <c r="M14" s="61">
        <f>8.52+0.44</f>
        <v>8.959999999999999</v>
      </c>
      <c r="N14" s="65">
        <v>8.6</v>
      </c>
      <c r="O14" s="2">
        <v>11</v>
      </c>
      <c r="P14" s="61">
        <f>8.25+0.44</f>
        <v>8.69</v>
      </c>
      <c r="Q14" s="65">
        <v>10.5</v>
      </c>
      <c r="R14" s="2">
        <v>15</v>
      </c>
      <c r="S14" s="59">
        <f>8.02+0.44</f>
        <v>8.459999999999999</v>
      </c>
      <c r="T14" s="51">
        <v>12.4</v>
      </c>
      <c r="U14" s="2">
        <v>15</v>
      </c>
      <c r="V14" s="59">
        <f>7.82+0.44</f>
        <v>8.26</v>
      </c>
      <c r="W14" s="51">
        <v>14.3</v>
      </c>
      <c r="X14" s="22">
        <v>18.5</v>
      </c>
      <c r="Y14" s="2"/>
      <c r="Z14" s="2"/>
      <c r="AA14" s="2"/>
      <c r="AB14" s="2"/>
      <c r="AC14" s="2"/>
      <c r="AD14" s="2"/>
      <c r="AE14" s="24"/>
      <c r="AF14" s="2"/>
      <c r="AG14" s="2"/>
      <c r="AH14" s="42">
        <v>2</v>
      </c>
    </row>
    <row r="15" spans="1:34" ht="45" customHeight="1">
      <c r="A15" s="129"/>
      <c r="B15" s="3">
        <v>2500</v>
      </c>
      <c r="C15" s="86">
        <v>14.3</v>
      </c>
      <c r="D15" s="67">
        <f>12.3+0.55</f>
        <v>12.850000000000001</v>
      </c>
      <c r="E15" s="67">
        <v>3.9</v>
      </c>
      <c r="F15" s="3">
        <v>5.5</v>
      </c>
      <c r="G15" s="67">
        <f>11.9+0.55</f>
        <v>12.450000000000001</v>
      </c>
      <c r="H15" s="67">
        <v>6.2</v>
      </c>
      <c r="I15" s="3">
        <v>7.5</v>
      </c>
      <c r="J15" s="67">
        <v>12.1</v>
      </c>
      <c r="K15" s="67">
        <v>8.5</v>
      </c>
      <c r="L15" s="3">
        <v>11</v>
      </c>
      <c r="M15" s="67">
        <f>11.3+0.55</f>
        <v>11.850000000000001</v>
      </c>
      <c r="N15" s="67">
        <v>10.8</v>
      </c>
      <c r="O15" s="3">
        <v>15</v>
      </c>
      <c r="P15" s="67">
        <f>11+0.55</f>
        <v>11.55</v>
      </c>
      <c r="Q15" s="67">
        <v>13.1</v>
      </c>
      <c r="R15" s="37">
        <v>18.5</v>
      </c>
      <c r="S15" s="52">
        <f>10.8+0.55</f>
        <v>11.350000000000001</v>
      </c>
      <c r="T15" s="52">
        <v>15.4</v>
      </c>
      <c r="U15" s="16">
        <v>18.5</v>
      </c>
      <c r="V15" s="3"/>
      <c r="W15" s="3"/>
      <c r="X15" s="3"/>
      <c r="Y15" s="3"/>
      <c r="Z15" s="3"/>
      <c r="AA15" s="3"/>
      <c r="AB15" s="3"/>
      <c r="AC15" s="3"/>
      <c r="AD15" s="3"/>
      <c r="AE15" s="25"/>
      <c r="AF15" s="3"/>
      <c r="AG15" s="3"/>
      <c r="AH15" s="28">
        <v>2</v>
      </c>
    </row>
    <row r="16" spans="1:34" ht="45" customHeight="1">
      <c r="A16" s="133" t="s">
        <v>8</v>
      </c>
      <c r="B16" s="12" t="s">
        <v>6</v>
      </c>
      <c r="C16" s="87">
        <v>11.5</v>
      </c>
      <c r="D16" s="61">
        <f>8.4+0.45</f>
        <v>8.85</v>
      </c>
      <c r="E16" s="51">
        <v>2.6</v>
      </c>
      <c r="F16" s="2">
        <v>4</v>
      </c>
      <c r="G16" s="2">
        <f>7.8+0.45</f>
        <v>8.25</v>
      </c>
      <c r="H16" s="2">
        <v>4.5</v>
      </c>
      <c r="I16" s="39">
        <v>7.5</v>
      </c>
      <c r="J16" s="2">
        <f>7.42+0.45</f>
        <v>7.87</v>
      </c>
      <c r="K16" s="51">
        <v>6.4</v>
      </c>
      <c r="L16" s="2">
        <v>7.5</v>
      </c>
      <c r="M16" s="2">
        <f>6.97+0.45</f>
        <v>7.42</v>
      </c>
      <c r="N16" s="51">
        <v>8.3</v>
      </c>
      <c r="O16" s="2">
        <v>11</v>
      </c>
      <c r="P16" s="59">
        <f>6.62+0.45</f>
        <v>7.07</v>
      </c>
      <c r="Q16" s="51">
        <v>10.2</v>
      </c>
      <c r="R16" s="2">
        <v>15</v>
      </c>
      <c r="S16" s="59">
        <f>6.27+0.45</f>
        <v>6.72</v>
      </c>
      <c r="T16" s="51">
        <v>12.1</v>
      </c>
      <c r="U16" s="2">
        <v>15</v>
      </c>
      <c r="V16" s="59">
        <f>5.94+0.45</f>
        <v>6.390000000000001</v>
      </c>
      <c r="W16" s="51">
        <v>14</v>
      </c>
      <c r="X16" s="39">
        <v>18.5</v>
      </c>
      <c r="Y16" s="59">
        <f>5.67+0.45</f>
        <v>6.12</v>
      </c>
      <c r="Z16" s="51">
        <v>16</v>
      </c>
      <c r="AA16" s="2">
        <v>18.5</v>
      </c>
      <c r="AB16" s="2"/>
      <c r="AC16" s="2"/>
      <c r="AD16" s="2"/>
      <c r="AE16" s="2"/>
      <c r="AF16" s="2"/>
      <c r="AG16" s="2"/>
      <c r="AH16" s="29">
        <v>6</v>
      </c>
    </row>
    <row r="17" spans="1:34" ht="45" customHeight="1">
      <c r="A17" s="128"/>
      <c r="B17" s="2">
        <v>1150</v>
      </c>
      <c r="C17" s="87">
        <v>13.7</v>
      </c>
      <c r="D17" s="51">
        <f>11+0.53</f>
        <v>11.53</v>
      </c>
      <c r="E17" s="51">
        <v>3.1</v>
      </c>
      <c r="F17" s="2">
        <v>5.5</v>
      </c>
      <c r="G17" s="65">
        <f>10.4+0.53</f>
        <v>10.93</v>
      </c>
      <c r="H17" s="2">
        <v>5.3</v>
      </c>
      <c r="I17" s="2">
        <v>7.5</v>
      </c>
      <c r="J17" s="65">
        <f>9.89+0.53</f>
        <v>10.42</v>
      </c>
      <c r="K17" s="51">
        <v>7.6</v>
      </c>
      <c r="L17" s="2">
        <v>11</v>
      </c>
      <c r="M17" s="2">
        <f>9.44+0.53</f>
        <v>9.969999999999999</v>
      </c>
      <c r="N17" s="51">
        <v>9.9</v>
      </c>
      <c r="O17" s="2">
        <v>15</v>
      </c>
      <c r="P17" s="59">
        <f>9.09+0.53</f>
        <v>9.62</v>
      </c>
      <c r="Q17" s="51">
        <v>12.2</v>
      </c>
      <c r="R17" s="69">
        <v>15</v>
      </c>
      <c r="S17" s="59">
        <f>8.74+0.53</f>
        <v>9.27</v>
      </c>
      <c r="T17" s="51">
        <v>14.4</v>
      </c>
      <c r="U17" s="2">
        <v>18.5</v>
      </c>
      <c r="V17" s="59">
        <f>8.44+0.53</f>
        <v>8.969999999999999</v>
      </c>
      <c r="W17" s="51">
        <v>16.7</v>
      </c>
      <c r="X17" s="39">
        <v>22</v>
      </c>
      <c r="Y17" s="59">
        <f>8.14+0.53</f>
        <v>8.67</v>
      </c>
      <c r="Z17" s="51">
        <v>19</v>
      </c>
      <c r="AA17" s="40">
        <v>30</v>
      </c>
      <c r="AB17" s="2">
        <f>7.89+0.53</f>
        <v>8.42</v>
      </c>
      <c r="AC17" s="51">
        <v>21.3</v>
      </c>
      <c r="AD17" s="2">
        <v>30</v>
      </c>
      <c r="AE17" s="2"/>
      <c r="AF17" s="2"/>
      <c r="AG17" s="2"/>
      <c r="AH17" s="30">
        <v>4</v>
      </c>
    </row>
    <row r="18" spans="1:34" ht="45" customHeight="1">
      <c r="A18" s="128"/>
      <c r="B18" s="12" t="s">
        <v>0</v>
      </c>
      <c r="C18" s="65">
        <v>17.2</v>
      </c>
      <c r="D18" s="51">
        <f>14+0.67</f>
        <v>14.67</v>
      </c>
      <c r="E18" s="51">
        <v>4</v>
      </c>
      <c r="F18" s="2">
        <v>5.5</v>
      </c>
      <c r="G18" s="65">
        <f>13.4+0.67</f>
        <v>14.07</v>
      </c>
      <c r="H18" s="2">
        <v>6.8</v>
      </c>
      <c r="I18" s="39">
        <v>11</v>
      </c>
      <c r="J18" s="65">
        <f>12.9+0.67</f>
        <v>13.57</v>
      </c>
      <c r="K18" s="51">
        <v>9.7</v>
      </c>
      <c r="L18" s="39">
        <v>15</v>
      </c>
      <c r="M18" s="65">
        <f>12.5+0.67</f>
        <v>13.17</v>
      </c>
      <c r="N18" s="51">
        <v>12.6</v>
      </c>
      <c r="O18" s="2">
        <v>15</v>
      </c>
      <c r="P18" s="65">
        <f>12.1+0.67</f>
        <v>12.77</v>
      </c>
      <c r="Q18" s="51">
        <v>15.5</v>
      </c>
      <c r="R18" s="2">
        <v>18.5</v>
      </c>
      <c r="S18" s="65">
        <f>11.8+0.67</f>
        <v>12.47</v>
      </c>
      <c r="T18" s="51">
        <v>18.3</v>
      </c>
      <c r="U18" s="2">
        <v>22</v>
      </c>
      <c r="V18" s="65">
        <f>11.5+0.67</f>
        <v>12.17</v>
      </c>
      <c r="W18" s="51">
        <v>21.2</v>
      </c>
      <c r="X18" s="2">
        <v>30</v>
      </c>
      <c r="Y18" s="51">
        <f>11.2+0.67</f>
        <v>11.87</v>
      </c>
      <c r="Z18" s="51">
        <v>24.1</v>
      </c>
      <c r="AA18" s="22">
        <v>30</v>
      </c>
      <c r="AB18" s="51">
        <f>10.9+0.67</f>
        <v>11.57</v>
      </c>
      <c r="AC18" s="51">
        <v>27</v>
      </c>
      <c r="AD18" s="39">
        <v>37</v>
      </c>
      <c r="AE18" s="51">
        <f>10.7+0.67</f>
        <v>11.37</v>
      </c>
      <c r="AF18" s="51">
        <v>29.9</v>
      </c>
      <c r="AG18" s="2">
        <v>37</v>
      </c>
      <c r="AH18" s="30">
        <v>4</v>
      </c>
    </row>
    <row r="19" spans="1:34" ht="45" customHeight="1">
      <c r="A19" s="128"/>
      <c r="B19" s="2">
        <v>1750</v>
      </c>
      <c r="C19" s="65">
        <v>20.9</v>
      </c>
      <c r="D19" s="51">
        <f>17.9+0.8</f>
        <v>18.7</v>
      </c>
      <c r="E19" s="51">
        <v>4.9</v>
      </c>
      <c r="F19" s="2">
        <v>7.5</v>
      </c>
      <c r="G19" s="65">
        <f>17.3+0.8</f>
        <v>18.1</v>
      </c>
      <c r="H19" s="2">
        <v>8.3</v>
      </c>
      <c r="I19" s="2">
        <v>11</v>
      </c>
      <c r="J19" s="65">
        <f>16.8+0.8</f>
        <v>17.6</v>
      </c>
      <c r="K19" s="51">
        <v>11.8</v>
      </c>
      <c r="L19" s="2">
        <v>15</v>
      </c>
      <c r="M19" s="65">
        <f>16.3+0.8</f>
        <v>17.1</v>
      </c>
      <c r="N19" s="51">
        <v>15.2</v>
      </c>
      <c r="O19" s="2">
        <v>18.5</v>
      </c>
      <c r="P19" s="65">
        <f>16+0.8</f>
        <v>16.8</v>
      </c>
      <c r="Q19" s="51">
        <v>18.7</v>
      </c>
      <c r="R19" s="69">
        <v>22</v>
      </c>
      <c r="S19" s="65">
        <f>15.6+0.8</f>
        <v>16.4</v>
      </c>
      <c r="T19" s="51">
        <v>22.2</v>
      </c>
      <c r="U19" s="2">
        <v>30</v>
      </c>
      <c r="V19" s="65">
        <f>15.3+0.8</f>
        <v>16.1</v>
      </c>
      <c r="W19" s="51">
        <v>25.6</v>
      </c>
      <c r="X19" s="69">
        <v>30</v>
      </c>
      <c r="Y19" s="51">
        <f>15+0.8</f>
        <v>15.8</v>
      </c>
      <c r="Z19" s="51">
        <v>29.1</v>
      </c>
      <c r="AA19" s="22">
        <v>37</v>
      </c>
      <c r="AB19" s="51">
        <f>14.7+0.8</f>
        <v>15.5</v>
      </c>
      <c r="AC19" s="51">
        <v>32.6</v>
      </c>
      <c r="AD19" s="39">
        <v>45</v>
      </c>
      <c r="AE19" s="51">
        <f>14.5+0.8</f>
        <v>15.3</v>
      </c>
      <c r="AF19" s="51">
        <v>36</v>
      </c>
      <c r="AG19" s="2">
        <v>45</v>
      </c>
      <c r="AH19" s="30">
        <v>4</v>
      </c>
    </row>
    <row r="20" spans="1:34" ht="45" customHeight="1">
      <c r="A20" s="128"/>
      <c r="B20" s="2">
        <v>2000</v>
      </c>
      <c r="C20" s="65">
        <v>23.8</v>
      </c>
      <c r="D20" s="51">
        <f>20.7+0.92</f>
        <v>21.62</v>
      </c>
      <c r="E20" s="51">
        <v>5.6</v>
      </c>
      <c r="F20" s="2">
        <v>7.5</v>
      </c>
      <c r="G20" s="65">
        <v>21</v>
      </c>
      <c r="H20" s="2">
        <v>9.5</v>
      </c>
      <c r="I20" s="39">
        <v>15</v>
      </c>
      <c r="J20" s="65">
        <f>19.6+0.92</f>
        <v>20.520000000000003</v>
      </c>
      <c r="K20" s="51">
        <v>13.5</v>
      </c>
      <c r="L20" s="39">
        <v>18.5</v>
      </c>
      <c r="M20" s="65">
        <f>19.2+0.92</f>
        <v>20.12</v>
      </c>
      <c r="N20" s="51">
        <v>17.4</v>
      </c>
      <c r="O20" s="2">
        <v>22</v>
      </c>
      <c r="P20" s="65">
        <f>18.8+0.92</f>
        <v>19.720000000000002</v>
      </c>
      <c r="Q20" s="51">
        <v>21.4</v>
      </c>
      <c r="R20" s="2">
        <v>30</v>
      </c>
      <c r="S20" s="65">
        <f>18.5+0.92</f>
        <v>19.42</v>
      </c>
      <c r="T20" s="51">
        <v>25.3</v>
      </c>
      <c r="U20" s="2">
        <v>30</v>
      </c>
      <c r="V20" s="65">
        <f>18.2+0.92</f>
        <v>19.12</v>
      </c>
      <c r="W20" s="51">
        <v>29.3</v>
      </c>
      <c r="X20" s="2">
        <v>37</v>
      </c>
      <c r="Y20" s="51">
        <f>17.9+0.92</f>
        <v>18.82</v>
      </c>
      <c r="Z20" s="51">
        <v>33.2</v>
      </c>
      <c r="AA20" s="40">
        <v>45</v>
      </c>
      <c r="AB20" s="51">
        <f>17.6+0.92</f>
        <v>18.520000000000003</v>
      </c>
      <c r="AC20" s="51">
        <v>37.2</v>
      </c>
      <c r="AD20" s="2">
        <v>45</v>
      </c>
      <c r="AE20" s="51">
        <f>17.4+0.92</f>
        <v>18.32</v>
      </c>
      <c r="AF20" s="51">
        <v>41.2</v>
      </c>
      <c r="AG20" s="39">
        <v>55</v>
      </c>
      <c r="AH20" s="41">
        <v>2</v>
      </c>
    </row>
    <row r="21" spans="1:34" ht="45" customHeight="1">
      <c r="A21" s="131"/>
      <c r="B21" s="3">
        <v>2250</v>
      </c>
      <c r="C21" s="67">
        <v>26.8</v>
      </c>
      <c r="D21" s="51">
        <v>24.6</v>
      </c>
      <c r="E21" s="52">
        <v>6.4</v>
      </c>
      <c r="F21" s="37">
        <v>11</v>
      </c>
      <c r="G21" s="67">
        <v>24</v>
      </c>
      <c r="H21" s="3">
        <v>10.7</v>
      </c>
      <c r="I21" s="3">
        <v>15</v>
      </c>
      <c r="J21" s="67">
        <v>23.5</v>
      </c>
      <c r="K21" s="52">
        <v>15.2</v>
      </c>
      <c r="L21" s="3">
        <v>18.5</v>
      </c>
      <c r="M21" s="67">
        <v>23.1</v>
      </c>
      <c r="N21" s="52">
        <v>19.6</v>
      </c>
      <c r="O21" s="68">
        <v>30</v>
      </c>
      <c r="P21" s="67">
        <v>22.7</v>
      </c>
      <c r="Q21" s="52">
        <v>24.1</v>
      </c>
      <c r="R21" s="3">
        <v>30</v>
      </c>
      <c r="S21" s="67">
        <v>22.4</v>
      </c>
      <c r="T21" s="52">
        <v>28.5</v>
      </c>
      <c r="U21" s="3">
        <v>37</v>
      </c>
      <c r="V21" s="67">
        <v>22.1</v>
      </c>
      <c r="W21" s="52">
        <v>33</v>
      </c>
      <c r="X21" s="37">
        <v>45</v>
      </c>
      <c r="Y21" s="52">
        <v>21.8</v>
      </c>
      <c r="Z21" s="52">
        <v>37.4</v>
      </c>
      <c r="AA21" s="16">
        <v>45</v>
      </c>
      <c r="AB21" s="52">
        <v>21.5</v>
      </c>
      <c r="AC21" s="52">
        <v>41.9</v>
      </c>
      <c r="AD21" s="3">
        <v>55</v>
      </c>
      <c r="AE21" s="52">
        <v>21.3</v>
      </c>
      <c r="AF21" s="52">
        <v>46.4</v>
      </c>
      <c r="AG21" s="3">
        <v>55</v>
      </c>
      <c r="AH21" s="17">
        <v>2</v>
      </c>
    </row>
    <row r="22" spans="1:34" ht="45" customHeight="1">
      <c r="A22" s="133" t="s">
        <v>9</v>
      </c>
      <c r="B22" s="31" t="s">
        <v>2</v>
      </c>
      <c r="C22" s="88">
        <v>17.5</v>
      </c>
      <c r="D22" s="64">
        <f>13.2+0.68</f>
        <v>13.879999999999999</v>
      </c>
      <c r="E22" s="50">
        <v>4</v>
      </c>
      <c r="F22" s="4">
        <v>5.5</v>
      </c>
      <c r="G22" s="64">
        <f>12.5+0.68</f>
        <v>13.18</v>
      </c>
      <c r="H22" s="4">
        <v>6.9</v>
      </c>
      <c r="I22" s="4">
        <v>11</v>
      </c>
      <c r="J22" s="64">
        <f>11.8+0.68</f>
        <v>12.48</v>
      </c>
      <c r="K22" s="50">
        <v>9.8</v>
      </c>
      <c r="L22" s="38">
        <v>15</v>
      </c>
      <c r="M22" s="64">
        <f>11.1+0.68</f>
        <v>11.78</v>
      </c>
      <c r="N22" s="50">
        <v>12.8</v>
      </c>
      <c r="O22" s="36">
        <v>18.5</v>
      </c>
      <c r="P22" s="64">
        <f>10.6+0.68</f>
        <v>11.28</v>
      </c>
      <c r="Q22" s="50">
        <v>15.7</v>
      </c>
      <c r="R22" s="4">
        <v>18.5</v>
      </c>
      <c r="S22" s="64">
        <f>10.1+0.68</f>
        <v>10.78</v>
      </c>
      <c r="T22" s="50">
        <v>18.6</v>
      </c>
      <c r="U22" s="4">
        <v>22</v>
      </c>
      <c r="V22" s="64">
        <f>9.6+0.68</f>
        <v>10.28</v>
      </c>
      <c r="W22" s="50">
        <v>21.6</v>
      </c>
      <c r="X22" s="4">
        <v>30</v>
      </c>
      <c r="Y22" s="77">
        <v>9.6</v>
      </c>
      <c r="Z22" s="50">
        <v>25.2</v>
      </c>
      <c r="AA22" s="4">
        <v>30</v>
      </c>
      <c r="AB22" s="51"/>
      <c r="AC22" s="51"/>
      <c r="AD22" s="2"/>
      <c r="AE22" s="2"/>
      <c r="AF22" s="2"/>
      <c r="AG22" s="2"/>
      <c r="AH22" s="29">
        <v>6</v>
      </c>
    </row>
    <row r="23" spans="1:34" ht="45" customHeight="1">
      <c r="A23" s="130"/>
      <c r="B23" s="2">
        <v>1150</v>
      </c>
      <c r="C23" s="87">
        <v>20.9</v>
      </c>
      <c r="D23" s="65">
        <f>17+0.8</f>
        <v>17.8</v>
      </c>
      <c r="E23" s="51">
        <v>4.8</v>
      </c>
      <c r="F23" s="2">
        <v>7.5</v>
      </c>
      <c r="G23" s="65">
        <f>16+0.8</f>
        <v>16.8</v>
      </c>
      <c r="H23" s="2">
        <v>8.5</v>
      </c>
      <c r="I23" s="2">
        <v>11</v>
      </c>
      <c r="J23" s="65">
        <f>15.3+0.8</f>
        <v>16.1</v>
      </c>
      <c r="K23" s="51">
        <v>12.3</v>
      </c>
      <c r="L23" s="2">
        <v>15</v>
      </c>
      <c r="M23" s="65">
        <f>14.7+0.8</f>
        <v>15.5</v>
      </c>
      <c r="N23" s="51">
        <v>15.2</v>
      </c>
      <c r="O23" s="2">
        <v>18.5</v>
      </c>
      <c r="P23" s="65">
        <f>14.1+0.8</f>
        <v>14.9</v>
      </c>
      <c r="Q23" s="51">
        <v>18.6</v>
      </c>
      <c r="R23" s="69">
        <v>22</v>
      </c>
      <c r="S23" s="65">
        <f>13.6+0.8</f>
        <v>14.4</v>
      </c>
      <c r="T23" s="51">
        <v>22.1</v>
      </c>
      <c r="U23" s="2">
        <v>30</v>
      </c>
      <c r="V23" s="65">
        <f>13.1+0.8</f>
        <v>13.9</v>
      </c>
      <c r="W23" s="51">
        <v>25.6</v>
      </c>
      <c r="X23" s="71">
        <v>30</v>
      </c>
      <c r="Y23" s="51">
        <f>12.8+0.8</f>
        <v>13.600000000000001</v>
      </c>
      <c r="Z23" s="51">
        <v>31.1</v>
      </c>
      <c r="AA23" s="2">
        <v>37</v>
      </c>
      <c r="AB23" s="51">
        <v>13.2</v>
      </c>
      <c r="AC23" s="51">
        <v>33.3</v>
      </c>
      <c r="AD23" s="2">
        <v>45</v>
      </c>
      <c r="AE23" s="24"/>
      <c r="AF23" s="2"/>
      <c r="AG23" s="2"/>
      <c r="AH23" s="28">
        <v>4</v>
      </c>
    </row>
    <row r="24" spans="1:34" ht="45" customHeight="1" thickBot="1">
      <c r="A24" s="130"/>
      <c r="B24" s="12" t="s">
        <v>0</v>
      </c>
      <c r="C24" s="87">
        <v>26.3</v>
      </c>
      <c r="D24" s="65">
        <f>21.8+1</f>
        <v>22.8</v>
      </c>
      <c r="E24" s="51">
        <v>6</v>
      </c>
      <c r="F24" s="2">
        <v>7.5</v>
      </c>
      <c r="G24" s="65">
        <f>20.9+1</f>
        <v>21.9</v>
      </c>
      <c r="H24" s="2">
        <v>10.5</v>
      </c>
      <c r="I24" s="2">
        <v>15</v>
      </c>
      <c r="J24" s="65">
        <f>20.2+1</f>
        <v>21.2</v>
      </c>
      <c r="K24" s="51">
        <v>15</v>
      </c>
      <c r="L24" s="2">
        <v>18.5</v>
      </c>
      <c r="M24" s="65">
        <f>19.5+1</f>
        <v>20.5</v>
      </c>
      <c r="N24" s="51">
        <v>19.5</v>
      </c>
      <c r="O24" s="39">
        <v>30</v>
      </c>
      <c r="P24" s="65">
        <f>19+1</f>
        <v>20</v>
      </c>
      <c r="Q24" s="51">
        <v>24</v>
      </c>
      <c r="R24" s="2">
        <v>30</v>
      </c>
      <c r="S24" s="65">
        <f>18.5+1</f>
        <v>19.5</v>
      </c>
      <c r="T24" s="51">
        <v>28.5</v>
      </c>
      <c r="U24" s="39">
        <v>37</v>
      </c>
      <c r="V24" s="65">
        <f>18+1</f>
        <v>19</v>
      </c>
      <c r="W24" s="65">
        <v>33</v>
      </c>
      <c r="X24" s="22">
        <v>37</v>
      </c>
      <c r="Y24" s="51">
        <f>17.6+1</f>
        <v>18.6</v>
      </c>
      <c r="Z24" s="51">
        <v>37.6</v>
      </c>
      <c r="AA24" s="2">
        <v>45</v>
      </c>
      <c r="AB24" s="51">
        <v>18.2</v>
      </c>
      <c r="AC24" s="51">
        <v>41.2</v>
      </c>
      <c r="AD24" s="2">
        <v>55</v>
      </c>
      <c r="AE24" s="24"/>
      <c r="AF24" s="2"/>
      <c r="AG24" s="2"/>
      <c r="AH24" s="28">
        <v>4</v>
      </c>
    </row>
    <row r="25" spans="1:34" ht="45" customHeight="1" thickBot="1">
      <c r="A25" s="130"/>
      <c r="B25" s="2">
        <v>1750</v>
      </c>
      <c r="C25" s="65">
        <v>31.7</v>
      </c>
      <c r="D25" s="65">
        <f>27.4+1.2</f>
        <v>28.599999999999998</v>
      </c>
      <c r="E25" s="51">
        <v>7.3</v>
      </c>
      <c r="F25" s="2">
        <v>11</v>
      </c>
      <c r="G25" s="65">
        <f>26.5+1.2</f>
        <v>27.7</v>
      </c>
      <c r="H25" s="2">
        <v>12.5</v>
      </c>
      <c r="I25" s="2">
        <v>15</v>
      </c>
      <c r="J25" s="65">
        <f>25.8+1.2</f>
        <v>27</v>
      </c>
      <c r="K25" s="51">
        <v>17.8</v>
      </c>
      <c r="L25" s="2">
        <v>22</v>
      </c>
      <c r="M25" s="65">
        <f>25.1+1.2</f>
        <v>26.3</v>
      </c>
      <c r="N25" s="51">
        <v>23.1</v>
      </c>
      <c r="O25" s="2">
        <v>30</v>
      </c>
      <c r="P25" s="65">
        <f>24.6+1.2</f>
        <v>25.8</v>
      </c>
      <c r="Q25" s="51">
        <v>28.3</v>
      </c>
      <c r="R25" s="2">
        <v>37</v>
      </c>
      <c r="S25" s="65">
        <f>24.1+1.2</f>
        <v>25.3</v>
      </c>
      <c r="T25" s="51">
        <v>33.6</v>
      </c>
      <c r="U25" s="39">
        <v>45</v>
      </c>
      <c r="V25" s="65">
        <f>23.6+1.2</f>
        <v>24.8</v>
      </c>
      <c r="W25" s="51">
        <v>38.9</v>
      </c>
      <c r="X25" s="71">
        <v>45</v>
      </c>
      <c r="Y25" s="75">
        <f>23.3+1.2</f>
        <v>24.5</v>
      </c>
      <c r="Z25" s="75">
        <v>44.2</v>
      </c>
      <c r="AA25" s="18">
        <v>55</v>
      </c>
      <c r="AB25" s="73">
        <v>24.1</v>
      </c>
      <c r="AC25" s="74">
        <v>49.5</v>
      </c>
      <c r="AD25" s="45">
        <v>75</v>
      </c>
      <c r="AE25" s="24"/>
      <c r="AF25" s="2"/>
      <c r="AG25" s="2"/>
      <c r="AH25" s="28">
        <v>4</v>
      </c>
    </row>
    <row r="26" spans="1:34" ht="45" customHeight="1" thickBot="1">
      <c r="A26" s="130"/>
      <c r="B26" s="2">
        <v>2000</v>
      </c>
      <c r="C26" s="87">
        <v>36.2</v>
      </c>
      <c r="D26" s="65">
        <f>31.8+1.4</f>
        <v>33.2</v>
      </c>
      <c r="E26" s="51">
        <v>8.3</v>
      </c>
      <c r="F26" s="2">
        <v>11</v>
      </c>
      <c r="G26" s="65">
        <f>30.9+1.4</f>
        <v>32.3</v>
      </c>
      <c r="H26" s="2">
        <v>14.3</v>
      </c>
      <c r="I26" s="2">
        <v>18.5</v>
      </c>
      <c r="J26" s="65">
        <f>30.2+1.4</f>
        <v>31.599999999999998</v>
      </c>
      <c r="K26" s="51">
        <v>20.3</v>
      </c>
      <c r="L26" s="2">
        <v>30</v>
      </c>
      <c r="M26" s="65">
        <f>29.5+1.4</f>
        <v>30.9</v>
      </c>
      <c r="N26" s="51">
        <v>26.3</v>
      </c>
      <c r="O26" s="39">
        <v>37</v>
      </c>
      <c r="P26" s="65">
        <f>28.9+1.4</f>
        <v>30.299999999999997</v>
      </c>
      <c r="Q26" s="51">
        <v>32.4</v>
      </c>
      <c r="R26" s="39">
        <v>45</v>
      </c>
      <c r="S26" s="65">
        <f>28.5+1.4</f>
        <v>29.9</v>
      </c>
      <c r="T26" s="51">
        <v>38.4</v>
      </c>
      <c r="U26" s="22">
        <v>45</v>
      </c>
      <c r="V26" s="78">
        <f>28+1.4</f>
        <v>29.4</v>
      </c>
      <c r="W26" s="75">
        <v>44.4</v>
      </c>
      <c r="X26" s="18">
        <v>55</v>
      </c>
      <c r="Y26" s="76">
        <f>27.6+1.4</f>
        <v>29</v>
      </c>
      <c r="Z26" s="51">
        <v>50.5</v>
      </c>
      <c r="AA26" s="39">
        <v>75</v>
      </c>
      <c r="AB26" s="51">
        <v>28.6</v>
      </c>
      <c r="AC26" s="51">
        <v>56.6</v>
      </c>
      <c r="AD26" s="23">
        <v>75</v>
      </c>
      <c r="AE26" s="24"/>
      <c r="AF26" s="2"/>
      <c r="AG26" s="2"/>
      <c r="AH26" s="42">
        <v>2</v>
      </c>
    </row>
    <row r="27" spans="1:34" ht="45" customHeight="1" thickBot="1">
      <c r="A27" s="131"/>
      <c r="B27" s="3">
        <v>2250</v>
      </c>
      <c r="C27" s="67">
        <v>40.7</v>
      </c>
      <c r="D27" s="67">
        <v>37.7</v>
      </c>
      <c r="E27" s="52">
        <v>9.4</v>
      </c>
      <c r="F27" s="37">
        <v>15</v>
      </c>
      <c r="G27" s="67">
        <v>36.8</v>
      </c>
      <c r="H27" s="3">
        <v>16.1</v>
      </c>
      <c r="I27" s="37">
        <v>22</v>
      </c>
      <c r="J27" s="67">
        <v>36.1</v>
      </c>
      <c r="K27" s="52">
        <v>22.9</v>
      </c>
      <c r="L27" s="3">
        <v>30</v>
      </c>
      <c r="M27" s="67">
        <v>35.4</v>
      </c>
      <c r="N27" s="52">
        <v>29.6</v>
      </c>
      <c r="O27" s="3">
        <v>37</v>
      </c>
      <c r="P27" s="67">
        <v>34.8</v>
      </c>
      <c r="Q27" s="52">
        <v>36.5</v>
      </c>
      <c r="R27" s="3">
        <v>45</v>
      </c>
      <c r="S27" s="67">
        <v>34.4</v>
      </c>
      <c r="T27" s="52">
        <v>43.2</v>
      </c>
      <c r="U27" s="16">
        <v>55</v>
      </c>
      <c r="V27" s="79">
        <v>33.9</v>
      </c>
      <c r="W27" s="75">
        <v>50</v>
      </c>
      <c r="X27" s="44">
        <v>75</v>
      </c>
      <c r="Y27" s="75">
        <v>33.5</v>
      </c>
      <c r="Z27" s="75">
        <v>56.9</v>
      </c>
      <c r="AA27" s="15">
        <v>75</v>
      </c>
      <c r="AB27" s="15"/>
      <c r="AC27" s="15"/>
      <c r="AD27" s="18"/>
      <c r="AE27" s="25"/>
      <c r="AF27" s="3"/>
      <c r="AG27" s="3"/>
      <c r="AH27" s="11">
        <v>2</v>
      </c>
    </row>
    <row r="28" spans="1:34" ht="45" customHeight="1">
      <c r="A28" s="133" t="s">
        <v>10</v>
      </c>
      <c r="B28" s="31" t="s">
        <v>5</v>
      </c>
      <c r="C28" s="64">
        <v>21.6</v>
      </c>
      <c r="D28" s="64">
        <f>16.8+0.8</f>
        <v>17.6</v>
      </c>
      <c r="E28" s="50">
        <v>4.9</v>
      </c>
      <c r="F28" s="4">
        <v>7.5</v>
      </c>
      <c r="G28" s="64">
        <f>15.7+0.8</f>
        <v>16.5</v>
      </c>
      <c r="H28" s="4">
        <v>8.5</v>
      </c>
      <c r="I28" s="4">
        <v>11</v>
      </c>
      <c r="J28" s="64">
        <f>14.8+0.8</f>
        <v>15.600000000000001</v>
      </c>
      <c r="K28" s="50">
        <v>12.1</v>
      </c>
      <c r="L28" s="4">
        <v>15</v>
      </c>
      <c r="M28" s="64">
        <f>14.1+0.8</f>
        <v>14.9</v>
      </c>
      <c r="N28" s="50">
        <v>15.7</v>
      </c>
      <c r="O28" s="4">
        <v>18.5</v>
      </c>
      <c r="P28" s="64">
        <f>13.4+0.8</f>
        <v>14.200000000000001</v>
      </c>
      <c r="Q28" s="50">
        <v>19.3</v>
      </c>
      <c r="R28" s="38">
        <v>30</v>
      </c>
      <c r="S28" s="64">
        <f>12.8+0.8</f>
        <v>13.600000000000001</v>
      </c>
      <c r="T28" s="50">
        <v>22.9</v>
      </c>
      <c r="U28" s="19">
        <v>30</v>
      </c>
      <c r="V28" s="65">
        <f>12.3+0.8</f>
        <v>13.100000000000001</v>
      </c>
      <c r="W28" s="51">
        <v>26.5</v>
      </c>
      <c r="X28" s="2">
        <v>30</v>
      </c>
      <c r="Y28" s="51"/>
      <c r="Z28" s="51"/>
      <c r="AA28" s="2"/>
      <c r="AB28" s="24"/>
      <c r="AC28" s="2"/>
      <c r="AD28" s="2"/>
      <c r="AE28" s="4"/>
      <c r="AF28" s="4"/>
      <c r="AG28" s="4"/>
      <c r="AH28" s="29">
        <v>6</v>
      </c>
    </row>
    <row r="29" spans="1:34" ht="45" customHeight="1">
      <c r="A29" s="130"/>
      <c r="B29" s="2">
        <v>1150</v>
      </c>
      <c r="C29" s="87">
        <v>25.6</v>
      </c>
      <c r="D29" s="65">
        <f>21.1+1</f>
        <v>22.1</v>
      </c>
      <c r="E29" s="51">
        <v>5.7</v>
      </c>
      <c r="F29" s="2">
        <v>7.5</v>
      </c>
      <c r="G29" s="65">
        <f>20+1</f>
        <v>21</v>
      </c>
      <c r="H29" s="2">
        <v>9.9</v>
      </c>
      <c r="I29" s="2">
        <v>15</v>
      </c>
      <c r="J29" s="65">
        <f>19.1+1</f>
        <v>20.1</v>
      </c>
      <c r="K29" s="51">
        <v>14.2</v>
      </c>
      <c r="L29" s="2">
        <v>18.5</v>
      </c>
      <c r="M29" s="65">
        <f>18.4+1</f>
        <v>19.4</v>
      </c>
      <c r="N29" s="51">
        <v>18.5</v>
      </c>
      <c r="O29" s="69">
        <v>22</v>
      </c>
      <c r="P29" s="65">
        <f>17.7+1</f>
        <v>18.7</v>
      </c>
      <c r="Q29" s="51">
        <v>22.8</v>
      </c>
      <c r="R29" s="2">
        <v>30</v>
      </c>
      <c r="S29" s="65">
        <f>17+1</f>
        <v>18</v>
      </c>
      <c r="T29" s="51">
        <v>27.1</v>
      </c>
      <c r="U29" s="40">
        <v>37</v>
      </c>
      <c r="V29" s="65">
        <f>16.5+1</f>
        <v>17.5</v>
      </c>
      <c r="W29" s="51">
        <v>31.4</v>
      </c>
      <c r="X29" s="71">
        <v>37</v>
      </c>
      <c r="Y29" s="51"/>
      <c r="Z29" s="51"/>
      <c r="AA29" s="2"/>
      <c r="AB29" s="24"/>
      <c r="AC29" s="2"/>
      <c r="AD29" s="2"/>
      <c r="AE29" s="2"/>
      <c r="AF29" s="2"/>
      <c r="AG29" s="2"/>
      <c r="AH29" s="28">
        <v>4</v>
      </c>
    </row>
    <row r="30" spans="1:34" ht="45" customHeight="1" thickBot="1">
      <c r="A30" s="130"/>
      <c r="B30" s="12" t="s">
        <v>0</v>
      </c>
      <c r="C30" s="87">
        <v>32.3</v>
      </c>
      <c r="D30" s="65">
        <f>27.1+1.2</f>
        <v>28.3</v>
      </c>
      <c r="E30" s="51">
        <v>7.2</v>
      </c>
      <c r="F30" s="2">
        <v>11</v>
      </c>
      <c r="G30" s="65">
        <f>26+1.2</f>
        <v>27.2</v>
      </c>
      <c r="H30" s="2">
        <v>12.6</v>
      </c>
      <c r="I30" s="39">
        <v>18.5</v>
      </c>
      <c r="J30" s="65">
        <f>25.1+1.2</f>
        <v>26.3</v>
      </c>
      <c r="K30" s="51">
        <v>18</v>
      </c>
      <c r="L30" s="2">
        <v>22</v>
      </c>
      <c r="M30" s="65">
        <f>24.4+1.2</f>
        <v>25.599999999999998</v>
      </c>
      <c r="N30" s="51">
        <v>23.4</v>
      </c>
      <c r="O30" s="2">
        <v>30</v>
      </c>
      <c r="P30" s="65">
        <f>23.7+1.2</f>
        <v>24.9</v>
      </c>
      <c r="Q30" s="51">
        <v>28.8</v>
      </c>
      <c r="R30" s="2">
        <v>37</v>
      </c>
      <c r="S30" s="65">
        <f>23.1+1.2</f>
        <v>24.3</v>
      </c>
      <c r="T30" s="51">
        <v>34.2</v>
      </c>
      <c r="U30" s="40">
        <v>45</v>
      </c>
      <c r="V30" s="65">
        <f>22.6+1.2</f>
        <v>23.8</v>
      </c>
      <c r="W30" s="51">
        <v>39.6</v>
      </c>
      <c r="X30" s="2">
        <v>45</v>
      </c>
      <c r="Y30" s="51">
        <v>23.3</v>
      </c>
      <c r="Z30" s="51">
        <v>45</v>
      </c>
      <c r="AA30" s="2">
        <v>55</v>
      </c>
      <c r="AB30" s="24"/>
      <c r="AC30" s="2"/>
      <c r="AD30" s="2"/>
      <c r="AE30" s="2"/>
      <c r="AF30" s="2"/>
      <c r="AG30" s="2"/>
      <c r="AH30" s="28">
        <v>4</v>
      </c>
    </row>
    <row r="31" spans="1:34" ht="45" customHeight="1">
      <c r="A31" s="130"/>
      <c r="B31" s="2">
        <v>1750</v>
      </c>
      <c r="C31" s="87">
        <v>38.9</v>
      </c>
      <c r="D31" s="65">
        <f>33.9+1.5</f>
        <v>35.4</v>
      </c>
      <c r="E31" s="51">
        <v>8.7</v>
      </c>
      <c r="F31" s="39">
        <v>15</v>
      </c>
      <c r="G31" s="65">
        <f>32.8+1.5</f>
        <v>34.3</v>
      </c>
      <c r="H31" s="2">
        <v>15.2</v>
      </c>
      <c r="I31" s="2">
        <v>18.5</v>
      </c>
      <c r="J31" s="65">
        <f>31.9+1.5</f>
        <v>33.4</v>
      </c>
      <c r="K31" s="51">
        <v>21.7</v>
      </c>
      <c r="L31" s="2">
        <v>30</v>
      </c>
      <c r="M31" s="65">
        <f>31.2+1.5</f>
        <v>32.7</v>
      </c>
      <c r="N31" s="51">
        <v>28.2</v>
      </c>
      <c r="O31" s="2">
        <v>37</v>
      </c>
      <c r="P31" s="65">
        <f>30.5+1.5</f>
        <v>32</v>
      </c>
      <c r="Q31" s="51">
        <v>34.7</v>
      </c>
      <c r="R31" s="2">
        <v>45</v>
      </c>
      <c r="S31" s="65">
        <f>29.9+1.5</f>
        <v>31.4</v>
      </c>
      <c r="T31" s="51">
        <v>41.2</v>
      </c>
      <c r="U31" s="40">
        <v>55</v>
      </c>
      <c r="V31" s="80">
        <f>29.4+1.5</f>
        <v>30.9</v>
      </c>
      <c r="W31" s="74">
        <v>47.8</v>
      </c>
      <c r="X31" s="72">
        <v>55</v>
      </c>
      <c r="Y31" s="74">
        <v>30.4</v>
      </c>
      <c r="Z31" s="74">
        <v>54.4</v>
      </c>
      <c r="AA31" s="20">
        <v>75</v>
      </c>
      <c r="AB31" s="24"/>
      <c r="AC31" s="2"/>
      <c r="AD31" s="2"/>
      <c r="AE31" s="2"/>
      <c r="AF31" s="2"/>
      <c r="AG31" s="2"/>
      <c r="AH31" s="28">
        <v>4</v>
      </c>
    </row>
    <row r="32" spans="1:34" ht="45" customHeight="1" thickBot="1">
      <c r="A32" s="134"/>
      <c r="B32" s="5">
        <v>2000</v>
      </c>
      <c r="C32" s="89">
        <v>44.5</v>
      </c>
      <c r="D32" s="66">
        <f>39.3+1.7</f>
        <v>41</v>
      </c>
      <c r="E32" s="63">
        <v>10</v>
      </c>
      <c r="F32" s="5">
        <v>15</v>
      </c>
      <c r="G32" s="66">
        <f>38.2+1.7</f>
        <v>39.900000000000006</v>
      </c>
      <c r="H32" s="5">
        <v>17.4</v>
      </c>
      <c r="I32" s="5">
        <v>22</v>
      </c>
      <c r="J32" s="66">
        <f>37.3+1.7</f>
        <v>39</v>
      </c>
      <c r="K32" s="63">
        <v>24.8</v>
      </c>
      <c r="L32" s="5">
        <v>30</v>
      </c>
      <c r="M32" s="66">
        <f>36.6+1.7</f>
        <v>38.300000000000004</v>
      </c>
      <c r="N32" s="63">
        <v>33.3</v>
      </c>
      <c r="O32" s="46">
        <v>45</v>
      </c>
      <c r="P32" s="66">
        <f>35.9+1.7</f>
        <v>37.6</v>
      </c>
      <c r="Q32" s="63">
        <v>39.7</v>
      </c>
      <c r="R32" s="70">
        <v>45</v>
      </c>
      <c r="S32" s="66">
        <f>35.3+1.7</f>
        <v>37</v>
      </c>
      <c r="T32" s="63">
        <v>47.2</v>
      </c>
      <c r="U32" s="33">
        <v>55</v>
      </c>
      <c r="V32" s="79">
        <v>36.4</v>
      </c>
      <c r="W32" s="75">
        <v>54.7</v>
      </c>
      <c r="X32" s="15">
        <v>75</v>
      </c>
      <c r="Y32" s="15"/>
      <c r="Z32" s="15"/>
      <c r="AA32" s="18"/>
      <c r="AB32" s="32"/>
      <c r="AC32" s="5"/>
      <c r="AD32" s="5"/>
      <c r="AE32" s="5"/>
      <c r="AF32" s="5"/>
      <c r="AG32" s="5"/>
      <c r="AH32" s="43">
        <v>2</v>
      </c>
    </row>
    <row r="33" spans="1:19" ht="4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4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4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4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48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46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2" spans="1:34" ht="64.5" thickBot="1">
      <c r="A42" s="125" t="s">
        <v>15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</row>
    <row r="43" spans="1:34" ht="46.5" customHeight="1">
      <c r="A43" s="107" t="s">
        <v>48</v>
      </c>
      <c r="B43" s="81" t="s">
        <v>49</v>
      </c>
      <c r="C43" s="81" t="s">
        <v>50</v>
      </c>
      <c r="D43" s="109" t="s">
        <v>24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1"/>
      <c r="AH43" s="83" t="s">
        <v>51</v>
      </c>
    </row>
    <row r="44" spans="1:34" ht="41.25">
      <c r="A44" s="108"/>
      <c r="B44" s="12" t="s">
        <v>52</v>
      </c>
      <c r="C44" s="85" t="s">
        <v>53</v>
      </c>
      <c r="D44" s="112" t="s">
        <v>25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4"/>
      <c r="AH44" s="84" t="s">
        <v>54</v>
      </c>
    </row>
    <row r="45" spans="1:34" ht="52.5" customHeight="1">
      <c r="A45" s="105" t="s">
        <v>26</v>
      </c>
      <c r="B45" s="12" t="s">
        <v>55</v>
      </c>
      <c r="C45" s="12" t="s">
        <v>56</v>
      </c>
      <c r="D45" s="115" t="s">
        <v>57</v>
      </c>
      <c r="E45" s="116"/>
      <c r="F45" s="116"/>
      <c r="G45" s="115" t="s">
        <v>58</v>
      </c>
      <c r="H45" s="116"/>
      <c r="I45" s="116"/>
      <c r="J45" s="115" t="s">
        <v>59</v>
      </c>
      <c r="K45" s="116"/>
      <c r="L45" s="116"/>
      <c r="M45" s="115" t="s">
        <v>60</v>
      </c>
      <c r="N45" s="116"/>
      <c r="O45" s="116"/>
      <c r="P45" s="115" t="s">
        <v>61</v>
      </c>
      <c r="Q45" s="116"/>
      <c r="R45" s="116"/>
      <c r="S45" s="115" t="s">
        <v>62</v>
      </c>
      <c r="T45" s="116"/>
      <c r="U45" s="116"/>
      <c r="V45" s="115" t="s">
        <v>63</v>
      </c>
      <c r="W45" s="116"/>
      <c r="X45" s="116"/>
      <c r="Y45" s="115" t="s">
        <v>64</v>
      </c>
      <c r="Z45" s="116"/>
      <c r="AA45" s="116"/>
      <c r="AB45" s="115" t="s">
        <v>65</v>
      </c>
      <c r="AC45" s="116"/>
      <c r="AD45" s="116"/>
      <c r="AE45" s="115" t="s">
        <v>66</v>
      </c>
      <c r="AF45" s="116"/>
      <c r="AG45" s="122"/>
      <c r="AH45" s="34" t="s">
        <v>17</v>
      </c>
    </row>
    <row r="46" spans="1:34" ht="35.25">
      <c r="A46" s="106"/>
      <c r="B46" s="9" t="s">
        <v>67</v>
      </c>
      <c r="C46" s="9" t="s">
        <v>68</v>
      </c>
      <c r="D46" s="9" t="s">
        <v>69</v>
      </c>
      <c r="E46" s="9" t="s">
        <v>70</v>
      </c>
      <c r="F46" s="9" t="s">
        <v>71</v>
      </c>
      <c r="G46" s="9" t="s">
        <v>69</v>
      </c>
      <c r="H46" s="9" t="s">
        <v>70</v>
      </c>
      <c r="I46" s="9" t="s">
        <v>71</v>
      </c>
      <c r="J46" s="9" t="s">
        <v>69</v>
      </c>
      <c r="K46" s="9" t="s">
        <v>70</v>
      </c>
      <c r="L46" s="9" t="s">
        <v>71</v>
      </c>
      <c r="M46" s="9" t="s">
        <v>69</v>
      </c>
      <c r="N46" s="9" t="s">
        <v>70</v>
      </c>
      <c r="O46" s="9" t="s">
        <v>71</v>
      </c>
      <c r="P46" s="9" t="s">
        <v>69</v>
      </c>
      <c r="Q46" s="9" t="s">
        <v>70</v>
      </c>
      <c r="R46" s="9" t="s">
        <v>71</v>
      </c>
      <c r="S46" s="9" t="s">
        <v>69</v>
      </c>
      <c r="T46" s="9" t="s">
        <v>70</v>
      </c>
      <c r="U46" s="9" t="s">
        <v>71</v>
      </c>
      <c r="V46" s="9" t="s">
        <v>69</v>
      </c>
      <c r="W46" s="9" t="s">
        <v>70</v>
      </c>
      <c r="X46" s="9" t="s">
        <v>71</v>
      </c>
      <c r="Y46" s="9" t="s">
        <v>69</v>
      </c>
      <c r="Z46" s="9" t="s">
        <v>70</v>
      </c>
      <c r="AA46" s="9" t="s">
        <v>71</v>
      </c>
      <c r="AB46" s="9" t="s">
        <v>69</v>
      </c>
      <c r="AC46" s="9" t="s">
        <v>70</v>
      </c>
      <c r="AD46" s="9" t="s">
        <v>71</v>
      </c>
      <c r="AE46" s="9" t="s">
        <v>69</v>
      </c>
      <c r="AF46" s="9" t="s">
        <v>70</v>
      </c>
      <c r="AG46" s="9" t="s">
        <v>71</v>
      </c>
      <c r="AH46" s="82" t="s">
        <v>72</v>
      </c>
    </row>
    <row r="47" spans="1:34" ht="42" customHeight="1">
      <c r="A47" s="117" t="s">
        <v>73</v>
      </c>
      <c r="B47" s="9" t="s">
        <v>1</v>
      </c>
      <c r="C47" s="90">
        <v>27.4</v>
      </c>
      <c r="D47" s="50">
        <f>21+1.1</f>
        <v>22.1</v>
      </c>
      <c r="E47" s="50">
        <v>6.6</v>
      </c>
      <c r="F47" s="4">
        <v>11</v>
      </c>
      <c r="G47" s="50">
        <f>20.2+1.1</f>
        <v>21.3</v>
      </c>
      <c r="H47" s="50">
        <v>11.2</v>
      </c>
      <c r="I47" s="4">
        <v>15</v>
      </c>
      <c r="J47" s="50">
        <f>19.2+1.1</f>
        <v>20.3</v>
      </c>
      <c r="K47" s="50">
        <v>15.7</v>
      </c>
      <c r="L47" s="4">
        <v>18.5</v>
      </c>
      <c r="M47" s="50">
        <f>18.4+1.1</f>
        <v>19.5</v>
      </c>
      <c r="N47" s="50">
        <v>20.3</v>
      </c>
      <c r="O47" s="38">
        <v>30</v>
      </c>
      <c r="P47" s="50">
        <f>17.6+1.1</f>
        <v>18.700000000000003</v>
      </c>
      <c r="Q47" s="50">
        <v>24.9</v>
      </c>
      <c r="R47" s="4">
        <v>30</v>
      </c>
      <c r="S47" s="50">
        <f>17+1.1</f>
        <v>18.1</v>
      </c>
      <c r="T47" s="50">
        <v>29.4</v>
      </c>
      <c r="U47" s="4">
        <v>37</v>
      </c>
      <c r="V47" s="50">
        <f>16.4+1.1</f>
        <v>17.5</v>
      </c>
      <c r="W47" s="50">
        <v>33.9</v>
      </c>
      <c r="X47" s="38">
        <v>45</v>
      </c>
      <c r="Y47" s="50">
        <v>17</v>
      </c>
      <c r="Z47" s="50">
        <v>38.5</v>
      </c>
      <c r="AA47" s="19">
        <v>45</v>
      </c>
      <c r="AB47" s="50">
        <f>15.5+1.1</f>
        <v>16.6</v>
      </c>
      <c r="AC47" s="50">
        <v>43.1</v>
      </c>
      <c r="AD47" s="4">
        <v>55</v>
      </c>
      <c r="AE47" s="4"/>
      <c r="AF47" s="4"/>
      <c r="AG47" s="4"/>
      <c r="AH47" s="21">
        <v>8</v>
      </c>
    </row>
    <row r="48" spans="1:34" ht="42">
      <c r="A48" s="123"/>
      <c r="B48" s="6" t="s">
        <v>2</v>
      </c>
      <c r="C48" s="91">
        <v>36.8</v>
      </c>
      <c r="D48" s="51">
        <f>30.5+1.4</f>
        <v>31.9</v>
      </c>
      <c r="E48" s="51">
        <v>8.4</v>
      </c>
      <c r="F48" s="2">
        <v>11</v>
      </c>
      <c r="G48" s="51">
        <f>29.3+1.4</f>
        <v>30.7</v>
      </c>
      <c r="H48" s="51">
        <v>14.5</v>
      </c>
      <c r="I48" s="2">
        <v>18.5</v>
      </c>
      <c r="J48" s="51">
        <f>28.3+1.4</f>
        <v>29.7</v>
      </c>
      <c r="K48" s="51">
        <v>20.6</v>
      </c>
      <c r="L48" s="39">
        <v>30</v>
      </c>
      <c r="M48" s="51">
        <f>27.5+1.4</f>
        <v>28.9</v>
      </c>
      <c r="N48" s="51">
        <v>26.7</v>
      </c>
      <c r="O48" s="39">
        <v>37</v>
      </c>
      <c r="P48" s="51">
        <f>26.7+1.4</f>
        <v>28.099999999999998</v>
      </c>
      <c r="Q48" s="51">
        <v>32.8</v>
      </c>
      <c r="R48" s="39">
        <v>45</v>
      </c>
      <c r="S48" s="51">
        <f>26.1+1.4</f>
        <v>27.5</v>
      </c>
      <c r="T48" s="51">
        <v>39</v>
      </c>
      <c r="U48" s="2">
        <v>45</v>
      </c>
      <c r="V48" s="51">
        <f>25.5+1.4</f>
        <v>26.9</v>
      </c>
      <c r="W48" s="51">
        <v>45.1</v>
      </c>
      <c r="X48" s="2">
        <v>55</v>
      </c>
      <c r="Y48" s="51">
        <v>26.4</v>
      </c>
      <c r="Z48" s="51">
        <v>51</v>
      </c>
      <c r="AA48" s="40">
        <v>75</v>
      </c>
      <c r="AB48" s="51">
        <f>24.6+1.4</f>
        <v>26</v>
      </c>
      <c r="AC48" s="51">
        <v>57.3</v>
      </c>
      <c r="AD48" s="2">
        <v>75</v>
      </c>
      <c r="AE48" s="51">
        <f>24.2+1.4</f>
        <v>25.599999999999998</v>
      </c>
      <c r="AF48" s="51">
        <v>63.5</v>
      </c>
      <c r="AG48" s="2">
        <v>75</v>
      </c>
      <c r="AH48" s="24">
        <v>6</v>
      </c>
    </row>
    <row r="49" spans="1:34" ht="35.25">
      <c r="A49" s="123"/>
      <c r="B49" s="1">
        <v>1170</v>
      </c>
      <c r="C49" s="91">
        <v>44.5</v>
      </c>
      <c r="D49" s="51">
        <f>38.4+1.7</f>
        <v>40.1</v>
      </c>
      <c r="E49" s="51">
        <v>10.2</v>
      </c>
      <c r="F49" s="2">
        <v>15</v>
      </c>
      <c r="G49" s="51">
        <f>37.2+1.7</f>
        <v>38.900000000000006</v>
      </c>
      <c r="H49" s="51">
        <v>17.6</v>
      </c>
      <c r="I49" s="2">
        <v>22</v>
      </c>
      <c r="J49" s="51">
        <f>36.2+1.7</f>
        <v>37.900000000000006</v>
      </c>
      <c r="K49" s="51">
        <v>25</v>
      </c>
      <c r="L49" s="2">
        <v>30</v>
      </c>
      <c r="M49" s="51">
        <f>35.4+1.7</f>
        <v>37.1</v>
      </c>
      <c r="N49" s="51">
        <v>32.4</v>
      </c>
      <c r="O49" s="39">
        <v>45</v>
      </c>
      <c r="P49" s="51">
        <f>34.6+1.7</f>
        <v>36.300000000000004</v>
      </c>
      <c r="Q49" s="51">
        <v>39.8</v>
      </c>
      <c r="R49" s="69">
        <v>45</v>
      </c>
      <c r="S49" s="51">
        <f>34+1.7</f>
        <v>35.7</v>
      </c>
      <c r="T49" s="51">
        <v>47.1</v>
      </c>
      <c r="U49" s="2">
        <v>55</v>
      </c>
      <c r="V49" s="51">
        <f>33.4+1.7</f>
        <v>35.1</v>
      </c>
      <c r="W49" s="51">
        <v>54.7</v>
      </c>
      <c r="X49" s="2">
        <v>75</v>
      </c>
      <c r="Y49" s="51">
        <f>32.9+1.7</f>
        <v>34.6</v>
      </c>
      <c r="Z49" s="51">
        <v>62.1</v>
      </c>
      <c r="AA49" s="22">
        <v>75</v>
      </c>
      <c r="AB49" s="51">
        <f>32.5+1.7</f>
        <v>34.2</v>
      </c>
      <c r="AC49" s="51">
        <v>69.5</v>
      </c>
      <c r="AD49" s="39">
        <v>90</v>
      </c>
      <c r="AE49" s="51">
        <f>32.1+1.7</f>
        <v>33.800000000000004</v>
      </c>
      <c r="AF49" s="51">
        <v>77</v>
      </c>
      <c r="AG49" s="2">
        <v>90</v>
      </c>
      <c r="AH49" s="24">
        <v>4</v>
      </c>
    </row>
    <row r="50" spans="1:34" ht="35.25">
      <c r="A50" s="123"/>
      <c r="B50" s="1">
        <v>1250</v>
      </c>
      <c r="C50" s="91">
        <v>47.5</v>
      </c>
      <c r="D50" s="51">
        <f>41.3+1.8</f>
        <v>43.099999999999994</v>
      </c>
      <c r="E50" s="51">
        <v>11.2</v>
      </c>
      <c r="F50" s="2">
        <v>15</v>
      </c>
      <c r="G50" s="51">
        <f>40.1+1.8</f>
        <v>41.9</v>
      </c>
      <c r="H50" s="51">
        <v>19</v>
      </c>
      <c r="I50" s="39">
        <v>30</v>
      </c>
      <c r="J50" s="51">
        <f>39.1+1.8</f>
        <v>40.9</v>
      </c>
      <c r="K50" s="51">
        <v>26.9</v>
      </c>
      <c r="L50" s="39">
        <v>37</v>
      </c>
      <c r="M50" s="51">
        <f>38.3+1.8</f>
        <v>40.099999999999994</v>
      </c>
      <c r="N50" s="51">
        <v>34.8</v>
      </c>
      <c r="O50" s="2">
        <v>45</v>
      </c>
      <c r="P50" s="51">
        <f>37.5+1.8</f>
        <v>39.3</v>
      </c>
      <c r="Q50" s="51">
        <v>42.7</v>
      </c>
      <c r="R50" s="2">
        <v>55</v>
      </c>
      <c r="S50" s="51">
        <f>36.9+1.8</f>
        <v>38.699999999999996</v>
      </c>
      <c r="T50" s="51">
        <v>50.6</v>
      </c>
      <c r="U50" s="39">
        <v>75</v>
      </c>
      <c r="V50" s="51">
        <f>35.3+1.8</f>
        <v>37.099999999999994</v>
      </c>
      <c r="W50" s="51">
        <v>58.5</v>
      </c>
      <c r="X50" s="2">
        <v>75</v>
      </c>
      <c r="Y50" s="51">
        <f>34.8+1.8</f>
        <v>36.599999999999994</v>
      </c>
      <c r="Z50" s="51">
        <v>66.4</v>
      </c>
      <c r="AA50" s="22">
        <v>75</v>
      </c>
      <c r="AB50" s="51">
        <f>34.4+1.8</f>
        <v>36.199999999999996</v>
      </c>
      <c r="AC50" s="51">
        <v>74.3</v>
      </c>
      <c r="AD50" s="2">
        <v>90</v>
      </c>
      <c r="AE50" s="51">
        <f>34+1.8</f>
        <v>35.8</v>
      </c>
      <c r="AF50" s="51">
        <v>82.2</v>
      </c>
      <c r="AG50" s="39">
        <v>110</v>
      </c>
      <c r="AH50" s="24">
        <v>4</v>
      </c>
    </row>
    <row r="51" spans="1:34" ht="35.25" customHeight="1">
      <c r="A51" s="123"/>
      <c r="B51" s="1">
        <v>1350</v>
      </c>
      <c r="C51" s="91">
        <v>51.4</v>
      </c>
      <c r="D51" s="51">
        <f>45+2</f>
        <v>47</v>
      </c>
      <c r="E51" s="51">
        <v>12.2</v>
      </c>
      <c r="F51" s="39">
        <v>18.5</v>
      </c>
      <c r="G51" s="51">
        <f>43.8+2</f>
        <v>45.8</v>
      </c>
      <c r="H51" s="51">
        <v>20.6</v>
      </c>
      <c r="I51" s="39">
        <v>30</v>
      </c>
      <c r="J51" s="51">
        <f>42.8+2</f>
        <v>44.8</v>
      </c>
      <c r="K51" s="51">
        <v>29.1</v>
      </c>
      <c r="L51" s="2">
        <v>37</v>
      </c>
      <c r="M51" s="51">
        <f>42+2</f>
        <v>44</v>
      </c>
      <c r="N51" s="51">
        <v>37.6</v>
      </c>
      <c r="O51" s="2">
        <v>45</v>
      </c>
      <c r="P51" s="51">
        <f>41.2+2</f>
        <v>43.2</v>
      </c>
      <c r="Q51" s="51">
        <v>46</v>
      </c>
      <c r="R51" s="2">
        <v>55</v>
      </c>
      <c r="S51" s="51">
        <f>40.6+2</f>
        <v>42.6</v>
      </c>
      <c r="T51" s="51">
        <v>54.5</v>
      </c>
      <c r="U51" s="2">
        <v>75</v>
      </c>
      <c r="V51" s="51">
        <f>40+2</f>
        <v>42</v>
      </c>
      <c r="W51" s="51">
        <v>63</v>
      </c>
      <c r="X51" s="2">
        <v>75</v>
      </c>
      <c r="Y51" s="51">
        <f>39.5+2</f>
        <v>41.5</v>
      </c>
      <c r="Z51" s="51">
        <v>71.4</v>
      </c>
      <c r="AA51" s="22">
        <v>90</v>
      </c>
      <c r="AB51" s="51">
        <f>39.1+2</f>
        <v>41.1</v>
      </c>
      <c r="AC51" s="51">
        <v>79.9</v>
      </c>
      <c r="AD51" s="2">
        <v>90</v>
      </c>
      <c r="AE51" s="51">
        <f>38.7+2</f>
        <v>40.7</v>
      </c>
      <c r="AF51" s="51">
        <v>88.4</v>
      </c>
      <c r="AG51" s="2">
        <v>110</v>
      </c>
      <c r="AH51" s="24">
        <v>4</v>
      </c>
    </row>
    <row r="52" spans="1:34" ht="42" customHeight="1">
      <c r="A52" s="124"/>
      <c r="B52" s="10" t="s">
        <v>0</v>
      </c>
      <c r="C52" s="92">
        <v>55.1</v>
      </c>
      <c r="D52" s="52">
        <f>48.1+2.1</f>
        <v>50.2</v>
      </c>
      <c r="E52" s="52">
        <v>13</v>
      </c>
      <c r="F52" s="37">
        <v>18.5</v>
      </c>
      <c r="G52" s="52">
        <f>46.9+2.1</f>
        <v>49</v>
      </c>
      <c r="H52" s="52">
        <v>22.1</v>
      </c>
      <c r="I52" s="3">
        <v>30</v>
      </c>
      <c r="J52" s="52">
        <f>45.9+2.1</f>
        <v>48</v>
      </c>
      <c r="K52" s="52">
        <v>31.2</v>
      </c>
      <c r="L52" s="3">
        <v>37</v>
      </c>
      <c r="M52" s="52">
        <f>45.1+2.1</f>
        <v>47.2</v>
      </c>
      <c r="N52" s="52">
        <v>40.3</v>
      </c>
      <c r="O52" s="37">
        <v>55</v>
      </c>
      <c r="P52" s="52">
        <f>44.3+2.1</f>
        <v>46.4</v>
      </c>
      <c r="Q52" s="52">
        <v>49.4</v>
      </c>
      <c r="R52" s="37">
        <v>75</v>
      </c>
      <c r="S52" s="52">
        <f>43.7+2.1</f>
        <v>45.800000000000004</v>
      </c>
      <c r="T52" s="52">
        <v>58.5</v>
      </c>
      <c r="U52" s="3">
        <v>75</v>
      </c>
      <c r="V52" s="52">
        <f>43.1+2.1</f>
        <v>45.2</v>
      </c>
      <c r="W52" s="52">
        <v>67.6</v>
      </c>
      <c r="X52" s="37">
        <v>90</v>
      </c>
      <c r="Y52" s="52">
        <f>42.6+2.1</f>
        <v>44.7</v>
      </c>
      <c r="Z52" s="52">
        <v>76.7</v>
      </c>
      <c r="AA52" s="16">
        <v>90</v>
      </c>
      <c r="AB52" s="52">
        <f>42.2+2.1</f>
        <v>44.300000000000004</v>
      </c>
      <c r="AC52" s="52">
        <v>85.8</v>
      </c>
      <c r="AD52" s="3">
        <v>110</v>
      </c>
      <c r="AE52" s="52">
        <f>41.8+2.1</f>
        <v>43.9</v>
      </c>
      <c r="AF52" s="52">
        <v>94.9</v>
      </c>
      <c r="AG52" s="3">
        <v>110</v>
      </c>
      <c r="AH52" s="25">
        <v>4</v>
      </c>
    </row>
    <row r="53" spans="1:34" ht="42" customHeight="1">
      <c r="A53" s="117" t="s">
        <v>74</v>
      </c>
      <c r="B53" s="9" t="s">
        <v>1</v>
      </c>
      <c r="C53" s="90">
        <v>34.2</v>
      </c>
      <c r="D53" s="50">
        <v>29.8</v>
      </c>
      <c r="E53" s="50">
        <v>8.2</v>
      </c>
      <c r="F53" s="4">
        <v>11</v>
      </c>
      <c r="G53" s="50">
        <v>28.1195202910393</v>
      </c>
      <c r="H53" s="50">
        <v>13.947081519309625</v>
      </c>
      <c r="I53" s="4">
        <v>18.5</v>
      </c>
      <c r="J53" s="50">
        <v>26.810796559646118</v>
      </c>
      <c r="K53" s="50">
        <v>19.720622278964434</v>
      </c>
      <c r="L53" s="4">
        <v>30</v>
      </c>
      <c r="M53" s="50">
        <v>25.703092829606987</v>
      </c>
      <c r="N53" s="50">
        <v>25.49416303861925</v>
      </c>
      <c r="O53" s="4">
        <v>30</v>
      </c>
      <c r="P53" s="50">
        <v>24.73132536791776</v>
      </c>
      <c r="Q53" s="50">
        <v>31.26770379827406</v>
      </c>
      <c r="R53" s="4">
        <v>37</v>
      </c>
      <c r="S53" s="50">
        <v>23.854408759834516</v>
      </c>
      <c r="T53" s="50">
        <v>37.04124455792887</v>
      </c>
      <c r="U53" s="4">
        <v>45</v>
      </c>
      <c r="V53" s="50">
        <v>23.04297853426024</v>
      </c>
      <c r="W53" s="50">
        <v>42.81478531758368</v>
      </c>
      <c r="X53" s="4">
        <v>55</v>
      </c>
      <c r="Y53" s="50">
        <v>22.287879121721904</v>
      </c>
      <c r="Z53" s="50">
        <v>48.5883260772385</v>
      </c>
      <c r="AA53" s="19">
        <v>55</v>
      </c>
      <c r="AB53" s="50">
        <v>21.582340752098265</v>
      </c>
      <c r="AC53" s="50">
        <v>54.361866836893306</v>
      </c>
      <c r="AD53" s="4">
        <v>75</v>
      </c>
      <c r="AE53" s="50">
        <v>20.914940126379616</v>
      </c>
      <c r="AF53" s="50">
        <v>60.13540759654812</v>
      </c>
      <c r="AG53" s="4">
        <v>75</v>
      </c>
      <c r="AH53" s="21">
        <v>8</v>
      </c>
    </row>
    <row r="54" spans="1:34" ht="42.75" thickBot="1">
      <c r="A54" s="123"/>
      <c r="B54" s="6" t="s">
        <v>2</v>
      </c>
      <c r="C54" s="91">
        <v>46</v>
      </c>
      <c r="D54" s="51">
        <v>41.8</v>
      </c>
      <c r="E54" s="51">
        <v>10.9</v>
      </c>
      <c r="F54" s="2">
        <v>15</v>
      </c>
      <c r="G54" s="51">
        <v>40.08219926200621</v>
      </c>
      <c r="H54" s="51">
        <v>18.532423388671692</v>
      </c>
      <c r="I54" s="2">
        <v>30</v>
      </c>
      <c r="J54" s="51">
        <v>38.74676688303357</v>
      </c>
      <c r="K54" s="51">
        <v>26.20411453506233</v>
      </c>
      <c r="L54" s="2">
        <v>30</v>
      </c>
      <c r="M54" s="51">
        <v>37.61645695442222</v>
      </c>
      <c r="N54" s="51">
        <v>33.875805681452974</v>
      </c>
      <c r="O54" s="2">
        <v>45</v>
      </c>
      <c r="P54" s="51">
        <v>36.62485750371893</v>
      </c>
      <c r="Q54" s="51">
        <v>41.54749682784362</v>
      </c>
      <c r="R54" s="2">
        <v>55</v>
      </c>
      <c r="S54" s="51">
        <v>35.73004463832786</v>
      </c>
      <c r="T54" s="51">
        <v>49.21918797423425</v>
      </c>
      <c r="U54" s="2">
        <v>55</v>
      </c>
      <c r="V54" s="51">
        <v>34.90205461223166</v>
      </c>
      <c r="W54" s="51">
        <v>56.89087912062489</v>
      </c>
      <c r="X54" s="2">
        <v>75</v>
      </c>
      <c r="Y54" s="51">
        <v>34.13154500760071</v>
      </c>
      <c r="Z54" s="51">
        <v>64.56257026701554</v>
      </c>
      <c r="AA54" s="22">
        <v>75</v>
      </c>
      <c r="AB54" s="51">
        <v>33.41160789573985</v>
      </c>
      <c r="AC54" s="51">
        <v>72.23426141340619</v>
      </c>
      <c r="AD54" s="2">
        <v>90</v>
      </c>
      <c r="AE54" s="51">
        <v>32.73058684908816</v>
      </c>
      <c r="AF54" s="51">
        <v>79.90595255979683</v>
      </c>
      <c r="AG54" s="2">
        <v>90</v>
      </c>
      <c r="AH54" s="24">
        <v>6</v>
      </c>
    </row>
    <row r="55" spans="1:34" ht="35.25">
      <c r="A55" s="123"/>
      <c r="B55" s="1">
        <v>1170</v>
      </c>
      <c r="C55" s="91">
        <v>55.6</v>
      </c>
      <c r="D55" s="51">
        <v>48.9</v>
      </c>
      <c r="E55" s="51">
        <v>12.5</v>
      </c>
      <c r="F55" s="69">
        <v>18.5</v>
      </c>
      <c r="G55" s="51">
        <v>47.20020626820952</v>
      </c>
      <c r="H55" s="51">
        <v>21.398262057022986</v>
      </c>
      <c r="I55" s="2">
        <v>30</v>
      </c>
      <c r="J55" s="51">
        <v>45.864773889236886</v>
      </c>
      <c r="K55" s="51">
        <v>30.25629719512352</v>
      </c>
      <c r="L55" s="2">
        <v>37</v>
      </c>
      <c r="M55" s="51">
        <v>44.734463960625526</v>
      </c>
      <c r="N55" s="51">
        <v>39.114332333224056</v>
      </c>
      <c r="O55" s="2">
        <v>45</v>
      </c>
      <c r="P55" s="51">
        <v>43.742864509922235</v>
      </c>
      <c r="Q55" s="51">
        <v>47.97236747132459</v>
      </c>
      <c r="R55" s="2">
        <v>55</v>
      </c>
      <c r="S55" s="51">
        <v>42.84805164453117</v>
      </c>
      <c r="T55" s="51">
        <v>56.83040260942512</v>
      </c>
      <c r="U55" s="2">
        <v>75</v>
      </c>
      <c r="V55" s="51">
        <v>42.02006161843497</v>
      </c>
      <c r="W55" s="51">
        <v>65.68843774752565</v>
      </c>
      <c r="X55" s="2">
        <v>75</v>
      </c>
      <c r="Y55" s="51">
        <v>41.24955201380401</v>
      </c>
      <c r="Z55" s="51">
        <v>74.5464728856262</v>
      </c>
      <c r="AA55" s="22">
        <v>90</v>
      </c>
      <c r="AB55" s="51">
        <v>40.529614901943155</v>
      </c>
      <c r="AC55" s="51">
        <v>83.40450802372673</v>
      </c>
      <c r="AD55" s="22">
        <v>110</v>
      </c>
      <c r="AE55" s="95">
        <v>39.84859385529147</v>
      </c>
      <c r="AF55" s="74">
        <v>92.26254316182727</v>
      </c>
      <c r="AG55" s="20">
        <v>110</v>
      </c>
      <c r="AH55" s="24">
        <v>4</v>
      </c>
    </row>
    <row r="56" spans="1:34" ht="36" thickBot="1">
      <c r="A56" s="123"/>
      <c r="B56" s="1">
        <v>1250</v>
      </c>
      <c r="C56" s="91">
        <v>59.4</v>
      </c>
      <c r="D56" s="51">
        <v>56.1</v>
      </c>
      <c r="E56" s="51">
        <v>14.2</v>
      </c>
      <c r="F56" s="2">
        <v>18.5</v>
      </c>
      <c r="G56" s="51">
        <v>54.31821327441283</v>
      </c>
      <c r="H56" s="51">
        <v>24.264100725374277</v>
      </c>
      <c r="I56" s="2">
        <v>30</v>
      </c>
      <c r="J56" s="51">
        <v>52.98278089544019</v>
      </c>
      <c r="K56" s="51">
        <v>34.3084798551847</v>
      </c>
      <c r="L56" s="2">
        <v>45</v>
      </c>
      <c r="M56" s="51">
        <v>51.85247096682883</v>
      </c>
      <c r="N56" s="51">
        <v>44.35285898499513</v>
      </c>
      <c r="O56" s="2">
        <v>55</v>
      </c>
      <c r="P56" s="51">
        <v>50.86087151612554</v>
      </c>
      <c r="Q56" s="51">
        <v>54.39723811480555</v>
      </c>
      <c r="R56" s="2">
        <v>75</v>
      </c>
      <c r="S56" s="51">
        <v>49.96605865073448</v>
      </c>
      <c r="T56" s="51">
        <v>64.44161724461598</v>
      </c>
      <c r="U56" s="2">
        <v>75</v>
      </c>
      <c r="V56" s="51">
        <v>49.13806862463827</v>
      </c>
      <c r="W56" s="51">
        <v>74.4859963744264</v>
      </c>
      <c r="X56" s="2">
        <v>90</v>
      </c>
      <c r="Y56" s="51">
        <v>48.36755902000732</v>
      </c>
      <c r="Z56" s="51">
        <v>84.53037550423684</v>
      </c>
      <c r="AA56" s="22">
        <v>110</v>
      </c>
      <c r="AB56" s="51">
        <v>47.64762190814646</v>
      </c>
      <c r="AC56" s="51">
        <v>94.57475463404725</v>
      </c>
      <c r="AD56" s="22">
        <v>110</v>
      </c>
      <c r="AE56" s="96">
        <v>46.966600861494776</v>
      </c>
      <c r="AF56" s="35">
        <v>104.61913376385769</v>
      </c>
      <c r="AG56" s="23">
        <v>132</v>
      </c>
      <c r="AH56" s="24">
        <v>4</v>
      </c>
    </row>
    <row r="57" spans="1:34" ht="35.25" customHeight="1" thickBot="1">
      <c r="A57" s="123"/>
      <c r="B57" s="1">
        <v>1350</v>
      </c>
      <c r="C57" s="91">
        <v>64.2</v>
      </c>
      <c r="D57" s="51">
        <v>59.9</v>
      </c>
      <c r="E57" s="51">
        <v>15.1</v>
      </c>
      <c r="F57" s="2">
        <v>18.5</v>
      </c>
      <c r="G57" s="51">
        <v>58.11448367772126</v>
      </c>
      <c r="H57" s="51">
        <v>25.792548015161636</v>
      </c>
      <c r="I57" s="69">
        <v>37</v>
      </c>
      <c r="J57" s="51">
        <v>56.77905129874861</v>
      </c>
      <c r="K57" s="51">
        <v>36.46964394055067</v>
      </c>
      <c r="L57" s="2">
        <v>45</v>
      </c>
      <c r="M57" s="51">
        <v>55.64874137013726</v>
      </c>
      <c r="N57" s="51">
        <v>47.14673986593971</v>
      </c>
      <c r="O57" s="2">
        <v>55</v>
      </c>
      <c r="P57" s="51">
        <v>54.65714191943396</v>
      </c>
      <c r="Q57" s="51">
        <v>57.82383579132874</v>
      </c>
      <c r="R57" s="2">
        <v>75</v>
      </c>
      <c r="S57" s="51">
        <v>53.76232905404291</v>
      </c>
      <c r="T57" s="51">
        <v>68.50093171671777</v>
      </c>
      <c r="U57" s="2">
        <v>90</v>
      </c>
      <c r="V57" s="51">
        <v>52.9343390279467</v>
      </c>
      <c r="W57" s="51">
        <v>79.17802764210681</v>
      </c>
      <c r="X57" s="2">
        <v>90</v>
      </c>
      <c r="Y57" s="51">
        <v>52.163829423315754</v>
      </c>
      <c r="Z57" s="51">
        <v>89.85512356749585</v>
      </c>
      <c r="AA57" s="22">
        <v>110</v>
      </c>
      <c r="AB57" s="93">
        <v>51.44389231145489</v>
      </c>
      <c r="AC57" s="99">
        <v>100.53221949288489</v>
      </c>
      <c r="AD57" s="49">
        <v>132</v>
      </c>
      <c r="AE57" s="75">
        <v>50.7628712648032</v>
      </c>
      <c r="AF57" s="97">
        <v>111.20931541827392</v>
      </c>
      <c r="AG57" s="18">
        <v>132</v>
      </c>
      <c r="AH57" s="24">
        <v>4</v>
      </c>
    </row>
    <row r="58" spans="1:34" ht="42" customHeight="1">
      <c r="A58" s="124"/>
      <c r="B58" s="10" t="s">
        <v>0</v>
      </c>
      <c r="C58" s="92">
        <v>68.9</v>
      </c>
      <c r="D58" s="52">
        <v>64.6</v>
      </c>
      <c r="E58" s="52">
        <v>16.2</v>
      </c>
      <c r="F58" s="3">
        <v>22</v>
      </c>
      <c r="G58" s="52">
        <v>62.8598216818568</v>
      </c>
      <c r="H58" s="52">
        <v>27.703107127395832</v>
      </c>
      <c r="I58" s="3">
        <v>37</v>
      </c>
      <c r="J58" s="52">
        <v>61.52438930288416</v>
      </c>
      <c r="K58" s="52">
        <v>39.171099047258124</v>
      </c>
      <c r="L58" s="3">
        <v>45</v>
      </c>
      <c r="M58" s="52">
        <v>60.3940793742728</v>
      </c>
      <c r="N58" s="52">
        <v>50.63909096712043</v>
      </c>
      <c r="O58" s="3">
        <v>75</v>
      </c>
      <c r="P58" s="52">
        <v>59.40247992356951</v>
      </c>
      <c r="Q58" s="52">
        <v>62.107082886982724</v>
      </c>
      <c r="R58" s="3">
        <v>75</v>
      </c>
      <c r="S58" s="52">
        <v>58.50766705817845</v>
      </c>
      <c r="T58" s="52">
        <v>73.57507480684501</v>
      </c>
      <c r="U58" s="3">
        <v>90</v>
      </c>
      <c r="V58" s="52">
        <v>57.679677032082246</v>
      </c>
      <c r="W58" s="52">
        <v>85.04306672670731</v>
      </c>
      <c r="X58" s="3">
        <v>110</v>
      </c>
      <c r="Y58" s="52">
        <v>56.909167427451294</v>
      </c>
      <c r="Z58" s="52">
        <v>96.51105864656964</v>
      </c>
      <c r="AA58" s="16">
        <v>110</v>
      </c>
      <c r="AB58" s="52">
        <v>56.189230315590436</v>
      </c>
      <c r="AC58" s="98">
        <v>107.97905056643191</v>
      </c>
      <c r="AD58" s="3">
        <v>132</v>
      </c>
      <c r="AE58" s="52">
        <v>55.50820926893875</v>
      </c>
      <c r="AF58" s="98">
        <v>119.44704248629421</v>
      </c>
      <c r="AG58" s="3">
        <v>160</v>
      </c>
      <c r="AH58" s="25">
        <v>4</v>
      </c>
    </row>
    <row r="59" spans="1:34" ht="42">
      <c r="A59" s="117" t="s">
        <v>75</v>
      </c>
      <c r="B59" s="9" t="s">
        <v>4</v>
      </c>
      <c r="C59" s="90">
        <v>41.8</v>
      </c>
      <c r="D59" s="64">
        <f>34.9+1.6</f>
        <v>36.5</v>
      </c>
      <c r="E59" s="64">
        <v>9.8</v>
      </c>
      <c r="F59" s="38">
        <v>15</v>
      </c>
      <c r="G59" s="64">
        <f>33.3+1.6</f>
        <v>34.9</v>
      </c>
      <c r="H59" s="64">
        <v>16.7</v>
      </c>
      <c r="I59" s="38">
        <v>22</v>
      </c>
      <c r="J59" s="64">
        <f>32+1.6</f>
        <v>33.6</v>
      </c>
      <c r="K59" s="64">
        <v>23.6</v>
      </c>
      <c r="L59" s="4">
        <v>30</v>
      </c>
      <c r="M59" s="64">
        <f>30.8+1.6</f>
        <v>32.4</v>
      </c>
      <c r="N59" s="64">
        <v>30.5</v>
      </c>
      <c r="O59" s="4">
        <v>37</v>
      </c>
      <c r="P59" s="64">
        <f>29.8+1.6</f>
        <v>31.400000000000002</v>
      </c>
      <c r="Q59" s="64">
        <v>37.4</v>
      </c>
      <c r="R59" s="4">
        <v>45</v>
      </c>
      <c r="S59" s="50">
        <f>28.8+1.6</f>
        <v>30.400000000000002</v>
      </c>
      <c r="T59" s="50">
        <v>44.3</v>
      </c>
      <c r="U59" s="4">
        <v>55</v>
      </c>
      <c r="V59" s="50">
        <f>27.9+1.6</f>
        <v>29.5</v>
      </c>
      <c r="W59" s="50">
        <v>51.2</v>
      </c>
      <c r="X59" s="38">
        <v>75</v>
      </c>
      <c r="Y59" s="50">
        <f>27.1+1.6</f>
        <v>28.700000000000003</v>
      </c>
      <c r="Z59" s="50">
        <v>58.2</v>
      </c>
      <c r="AA59" s="19">
        <v>75</v>
      </c>
      <c r="AB59" s="50">
        <v>27.9</v>
      </c>
      <c r="AC59" s="50">
        <v>65.2</v>
      </c>
      <c r="AD59" s="4">
        <v>75</v>
      </c>
      <c r="AE59" s="50"/>
      <c r="AF59" s="50"/>
      <c r="AG59" s="4"/>
      <c r="AH59" s="21">
        <v>8</v>
      </c>
    </row>
    <row r="60" spans="1:34" ht="42.75" thickBot="1">
      <c r="A60" s="118"/>
      <c r="B60" s="6" t="s">
        <v>3</v>
      </c>
      <c r="C60" s="91">
        <v>56.4</v>
      </c>
      <c r="D60" s="65">
        <f>48.9+2.2</f>
        <v>51.1</v>
      </c>
      <c r="E60" s="65">
        <v>12.6</v>
      </c>
      <c r="F60" s="39">
        <v>18.5</v>
      </c>
      <c r="G60" s="65">
        <f>47.3+2.2</f>
        <v>49.5</v>
      </c>
      <c r="H60" s="65">
        <v>22</v>
      </c>
      <c r="I60" s="2">
        <v>30</v>
      </c>
      <c r="J60" s="65">
        <f>46+2.2</f>
        <v>48.2</v>
      </c>
      <c r="K60" s="65">
        <v>31.4</v>
      </c>
      <c r="L60" s="2">
        <v>37</v>
      </c>
      <c r="M60" s="65">
        <f>44.8+2.2</f>
        <v>47</v>
      </c>
      <c r="N60" s="65">
        <v>40.8</v>
      </c>
      <c r="O60" s="2">
        <v>55</v>
      </c>
      <c r="P60" s="65">
        <f>43.8+2.2</f>
        <v>46</v>
      </c>
      <c r="Q60" s="65">
        <v>50.2</v>
      </c>
      <c r="R60" s="2">
        <v>75</v>
      </c>
      <c r="S60" s="51">
        <f>42.8+2.2</f>
        <v>45</v>
      </c>
      <c r="T60" s="51">
        <v>59.6</v>
      </c>
      <c r="U60" s="2">
        <v>75</v>
      </c>
      <c r="V60" s="51">
        <f>41.9+2.2</f>
        <v>44.1</v>
      </c>
      <c r="W60" s="51">
        <v>69</v>
      </c>
      <c r="X60" s="2">
        <v>90</v>
      </c>
      <c r="Y60" s="51">
        <f>41.1+2.2</f>
        <v>43.300000000000004</v>
      </c>
      <c r="Z60" s="51">
        <v>78.4</v>
      </c>
      <c r="AA60" s="22">
        <v>90</v>
      </c>
      <c r="AB60" s="51">
        <v>42.5</v>
      </c>
      <c r="AC60" s="51">
        <v>87.8</v>
      </c>
      <c r="AD60" s="2">
        <v>110</v>
      </c>
      <c r="AE60" s="51">
        <v>41.7</v>
      </c>
      <c r="AF60" s="51">
        <v>97.2</v>
      </c>
      <c r="AG60" s="2">
        <v>110</v>
      </c>
      <c r="AH60" s="24">
        <v>6</v>
      </c>
    </row>
    <row r="61" spans="1:34" ht="35.25">
      <c r="A61" s="118"/>
      <c r="B61" s="1">
        <v>1170</v>
      </c>
      <c r="C61" s="91">
        <v>68</v>
      </c>
      <c r="D61" s="65">
        <f>60.1+2.6</f>
        <v>62.7</v>
      </c>
      <c r="E61" s="65">
        <v>15.3</v>
      </c>
      <c r="F61" s="39">
        <v>22</v>
      </c>
      <c r="G61" s="65">
        <f>58.5+2.6</f>
        <v>61.1</v>
      </c>
      <c r="H61" s="65">
        <v>26.5</v>
      </c>
      <c r="I61" s="39">
        <v>37</v>
      </c>
      <c r="J61" s="65">
        <f>57.2+2.6</f>
        <v>59.800000000000004</v>
      </c>
      <c r="K61" s="65">
        <v>37.8</v>
      </c>
      <c r="L61" s="2">
        <v>45</v>
      </c>
      <c r="M61" s="65">
        <f>56+2.6</f>
        <v>58.6</v>
      </c>
      <c r="N61" s="65">
        <v>49</v>
      </c>
      <c r="O61" s="39">
        <v>75</v>
      </c>
      <c r="P61" s="65">
        <f>55+2.6</f>
        <v>57.6</v>
      </c>
      <c r="Q61" s="65">
        <v>60.3</v>
      </c>
      <c r="R61" s="2">
        <v>75</v>
      </c>
      <c r="S61" s="51">
        <f>54+2.6</f>
        <v>56.6</v>
      </c>
      <c r="T61" s="51">
        <v>71.5</v>
      </c>
      <c r="U61" s="2">
        <v>90</v>
      </c>
      <c r="V61" s="51">
        <f>53.1+2.6</f>
        <v>55.7</v>
      </c>
      <c r="W61" s="51">
        <v>82.8</v>
      </c>
      <c r="X61" s="40">
        <v>110</v>
      </c>
      <c r="Y61" s="95">
        <f>52.3+2.6</f>
        <v>54.9</v>
      </c>
      <c r="Z61" s="74">
        <v>94.1</v>
      </c>
      <c r="AA61" s="47">
        <v>110</v>
      </c>
      <c r="AB61" s="74">
        <v>54.1</v>
      </c>
      <c r="AC61" s="100">
        <v>105.4</v>
      </c>
      <c r="AD61" s="20">
        <v>132</v>
      </c>
      <c r="AE61" s="76"/>
      <c r="AF61" s="51"/>
      <c r="AG61" s="2"/>
      <c r="AH61" s="24">
        <v>4</v>
      </c>
    </row>
    <row r="62" spans="1:34" ht="36" thickBot="1">
      <c r="A62" s="118"/>
      <c r="B62" s="1">
        <v>1250</v>
      </c>
      <c r="C62" s="91">
        <v>72.7</v>
      </c>
      <c r="D62" s="65">
        <f>64.6+2.8</f>
        <v>67.39999999999999</v>
      </c>
      <c r="E62" s="65">
        <v>16.3</v>
      </c>
      <c r="F62" s="39">
        <v>22</v>
      </c>
      <c r="G62" s="65">
        <f>63+2.8</f>
        <v>65.8</v>
      </c>
      <c r="H62" s="65">
        <v>28.4</v>
      </c>
      <c r="I62" s="2">
        <v>37</v>
      </c>
      <c r="J62" s="65">
        <f>61.7+2.8</f>
        <v>64.5</v>
      </c>
      <c r="K62" s="65">
        <v>40.5</v>
      </c>
      <c r="L62" s="39">
        <v>55</v>
      </c>
      <c r="M62" s="65">
        <f>60.5+2.8</f>
        <v>63.3</v>
      </c>
      <c r="N62" s="65">
        <v>52.6</v>
      </c>
      <c r="O62" s="2">
        <v>75</v>
      </c>
      <c r="P62" s="65">
        <f>59.5+2.8</f>
        <v>62.3</v>
      </c>
      <c r="Q62" s="65">
        <v>64.7</v>
      </c>
      <c r="R62" s="2">
        <v>75</v>
      </c>
      <c r="S62" s="51">
        <f>58.5+2.8</f>
        <v>61.3</v>
      </c>
      <c r="T62" s="51">
        <v>76.8</v>
      </c>
      <c r="U62" s="2">
        <v>90</v>
      </c>
      <c r="V62" s="51">
        <f>57.6+2.8</f>
        <v>60.4</v>
      </c>
      <c r="W62" s="51">
        <v>88.9</v>
      </c>
      <c r="X62" s="22">
        <v>110</v>
      </c>
      <c r="Y62" s="96">
        <f>56.8+2.8</f>
        <v>59.599999999999994</v>
      </c>
      <c r="Z62" s="35">
        <v>101.4</v>
      </c>
      <c r="AA62" s="40">
        <v>132</v>
      </c>
      <c r="AB62" s="51">
        <v>58.8</v>
      </c>
      <c r="AC62" s="35">
        <v>113.1</v>
      </c>
      <c r="AD62" s="23">
        <v>132</v>
      </c>
      <c r="AE62" s="76"/>
      <c r="AF62" s="51"/>
      <c r="AG62" s="2"/>
      <c r="AH62" s="24">
        <v>4</v>
      </c>
    </row>
    <row r="63" spans="1:34" ht="36" thickBot="1">
      <c r="A63" s="118"/>
      <c r="B63" s="1">
        <v>1350</v>
      </c>
      <c r="C63" s="91">
        <v>78.4</v>
      </c>
      <c r="D63" s="65">
        <f>70.1+3</f>
        <v>73.1</v>
      </c>
      <c r="E63" s="65">
        <v>17.3</v>
      </c>
      <c r="F63" s="39">
        <v>30</v>
      </c>
      <c r="G63" s="65">
        <f>68.5+3</f>
        <v>71.5</v>
      </c>
      <c r="H63" s="65">
        <v>30.2</v>
      </c>
      <c r="I63" s="39">
        <v>45</v>
      </c>
      <c r="J63" s="65">
        <f>67.2+3</f>
        <v>70.2</v>
      </c>
      <c r="K63" s="65">
        <v>43.2</v>
      </c>
      <c r="L63" s="2">
        <v>55</v>
      </c>
      <c r="M63" s="65">
        <f>66+3</f>
        <v>69</v>
      </c>
      <c r="N63" s="65">
        <v>56.1</v>
      </c>
      <c r="O63" s="2">
        <v>75</v>
      </c>
      <c r="P63" s="65">
        <f>65+3</f>
        <v>68</v>
      </c>
      <c r="Q63" s="65">
        <v>69.1</v>
      </c>
      <c r="R63" s="39">
        <v>90</v>
      </c>
      <c r="S63" s="51">
        <f>64+3</f>
        <v>67</v>
      </c>
      <c r="T63" s="51">
        <v>82</v>
      </c>
      <c r="U63" s="40">
        <v>110</v>
      </c>
      <c r="V63" s="93">
        <f>63.1+3</f>
        <v>66.1</v>
      </c>
      <c r="W63" s="94">
        <v>95</v>
      </c>
      <c r="X63" s="49">
        <v>110</v>
      </c>
      <c r="Y63" s="75">
        <f>62.3+3</f>
        <v>65.3</v>
      </c>
      <c r="Z63" s="97">
        <v>108</v>
      </c>
      <c r="AA63" s="48">
        <v>132</v>
      </c>
      <c r="AB63" s="75"/>
      <c r="AC63" s="97"/>
      <c r="AD63" s="18"/>
      <c r="AE63" s="76"/>
      <c r="AF63" s="51"/>
      <c r="AG63" s="2"/>
      <c r="AH63" s="24">
        <v>4</v>
      </c>
    </row>
    <row r="64" spans="1:34" ht="42">
      <c r="A64" s="119"/>
      <c r="B64" s="10" t="s">
        <v>0</v>
      </c>
      <c r="C64" s="92">
        <v>84</v>
      </c>
      <c r="D64" s="67">
        <f>75.6+3.2</f>
        <v>78.8</v>
      </c>
      <c r="E64" s="67">
        <v>18.6</v>
      </c>
      <c r="F64" s="37">
        <v>30</v>
      </c>
      <c r="G64" s="67">
        <f>74+3.2</f>
        <v>77.2</v>
      </c>
      <c r="H64" s="67">
        <v>32.6</v>
      </c>
      <c r="I64" s="37">
        <v>45</v>
      </c>
      <c r="J64" s="67">
        <f>72.7+3.2</f>
        <v>75.9</v>
      </c>
      <c r="K64" s="67">
        <v>46.7</v>
      </c>
      <c r="L64" s="3">
        <v>55</v>
      </c>
      <c r="M64" s="67">
        <f>71.5+3.2</f>
        <v>74.7</v>
      </c>
      <c r="N64" s="67">
        <v>60.7</v>
      </c>
      <c r="O64" s="3">
        <v>75</v>
      </c>
      <c r="P64" s="67">
        <f>70.5+3.2</f>
        <v>73.7</v>
      </c>
      <c r="Q64" s="67">
        <v>74.8</v>
      </c>
      <c r="R64" s="3">
        <v>90</v>
      </c>
      <c r="S64" s="52">
        <f>69.5+3.2</f>
        <v>72.7</v>
      </c>
      <c r="T64" s="52">
        <v>88.8</v>
      </c>
      <c r="U64" s="3">
        <v>110</v>
      </c>
      <c r="V64" s="51">
        <f>68.6+3.2</f>
        <v>71.8</v>
      </c>
      <c r="W64" s="35">
        <v>103</v>
      </c>
      <c r="X64" s="39">
        <v>132</v>
      </c>
      <c r="Y64" s="52">
        <f>67.8+3.2</f>
        <v>71</v>
      </c>
      <c r="Z64" s="98">
        <v>117</v>
      </c>
      <c r="AA64" s="16">
        <v>132</v>
      </c>
      <c r="AB64" s="52">
        <v>70.2</v>
      </c>
      <c r="AC64" s="98">
        <v>131</v>
      </c>
      <c r="AD64" s="3">
        <v>160</v>
      </c>
      <c r="AE64" s="52">
        <v>69.4</v>
      </c>
      <c r="AF64" s="98">
        <v>145</v>
      </c>
      <c r="AG64" s="3">
        <v>160</v>
      </c>
      <c r="AH64" s="25">
        <v>4</v>
      </c>
    </row>
    <row r="65" spans="1:34" ht="42">
      <c r="A65" s="117" t="s">
        <v>76</v>
      </c>
      <c r="B65" s="9" t="s">
        <v>1</v>
      </c>
      <c r="C65" s="90">
        <v>53.2</v>
      </c>
      <c r="D65" s="64">
        <f>44.6+2.1</f>
        <v>46.7</v>
      </c>
      <c r="E65" s="64">
        <v>11.7</v>
      </c>
      <c r="F65" s="4">
        <v>15</v>
      </c>
      <c r="G65" s="64">
        <f>42.6+2.1</f>
        <v>44.7</v>
      </c>
      <c r="H65" s="64">
        <v>20.6</v>
      </c>
      <c r="I65" s="38">
        <v>30</v>
      </c>
      <c r="J65" s="64">
        <f>40.8+2.1</f>
        <v>42.9</v>
      </c>
      <c r="K65" s="64">
        <v>29.5</v>
      </c>
      <c r="L65" s="4">
        <v>37</v>
      </c>
      <c r="M65" s="64">
        <f>39.3+2.1</f>
        <v>41.4</v>
      </c>
      <c r="N65" s="64">
        <v>38.4</v>
      </c>
      <c r="O65" s="4">
        <v>45</v>
      </c>
      <c r="P65" s="64">
        <f>38+2.1</f>
        <v>40.1</v>
      </c>
      <c r="Q65" s="64">
        <v>47.3</v>
      </c>
      <c r="R65" s="4">
        <v>55</v>
      </c>
      <c r="S65" s="50">
        <f>36.8+2.1</f>
        <v>38.9</v>
      </c>
      <c r="T65" s="50">
        <v>56.2</v>
      </c>
      <c r="U65" s="19">
        <v>75</v>
      </c>
      <c r="V65" s="50">
        <v>37.7</v>
      </c>
      <c r="W65" s="50">
        <v>65.5</v>
      </c>
      <c r="X65" s="4">
        <v>75</v>
      </c>
      <c r="Y65" s="21"/>
      <c r="Z65" s="4"/>
      <c r="AA65" s="4"/>
      <c r="AB65" s="2"/>
      <c r="AC65" s="2"/>
      <c r="AD65" s="2"/>
      <c r="AE65" s="2"/>
      <c r="AF65" s="2"/>
      <c r="AG65" s="2"/>
      <c r="AH65" s="4">
        <v>8</v>
      </c>
    </row>
    <row r="66" spans="1:34" ht="42.75" thickBot="1">
      <c r="A66" s="120"/>
      <c r="B66" s="6" t="s">
        <v>2</v>
      </c>
      <c r="C66" s="91">
        <v>71.7</v>
      </c>
      <c r="D66" s="65">
        <f>62.5+2.8</f>
        <v>65.3</v>
      </c>
      <c r="E66" s="65">
        <v>15.3</v>
      </c>
      <c r="F66" s="39">
        <v>22</v>
      </c>
      <c r="G66" s="65">
        <f>60.5+2.8</f>
        <v>63.3</v>
      </c>
      <c r="H66" s="65">
        <v>27.2</v>
      </c>
      <c r="I66" s="39">
        <v>37</v>
      </c>
      <c r="J66" s="65">
        <f>58.7+2.8</f>
        <v>61.5</v>
      </c>
      <c r="K66" s="65">
        <v>39.1</v>
      </c>
      <c r="L66" s="2">
        <v>45</v>
      </c>
      <c r="M66" s="65">
        <f>57.2+2.8</f>
        <v>60</v>
      </c>
      <c r="N66" s="65">
        <v>51.1</v>
      </c>
      <c r="O66" s="39">
        <v>75</v>
      </c>
      <c r="P66" s="65">
        <f>55.9+2.8</f>
        <v>58.699999999999996</v>
      </c>
      <c r="Q66" s="65">
        <v>63</v>
      </c>
      <c r="R66" s="2">
        <v>75</v>
      </c>
      <c r="S66" s="51">
        <f>54.7+2.8</f>
        <v>57.5</v>
      </c>
      <c r="T66" s="51">
        <v>75</v>
      </c>
      <c r="U66" s="22">
        <v>90</v>
      </c>
      <c r="V66" s="51">
        <v>56.3</v>
      </c>
      <c r="W66" s="51">
        <v>87</v>
      </c>
      <c r="X66" s="2">
        <v>110</v>
      </c>
      <c r="Y66" s="24"/>
      <c r="Z66" s="2"/>
      <c r="AA66" s="2"/>
      <c r="AB66" s="2"/>
      <c r="AC66" s="2"/>
      <c r="AD66" s="2"/>
      <c r="AE66" s="2"/>
      <c r="AF66" s="2"/>
      <c r="AG66" s="2"/>
      <c r="AH66" s="2">
        <v>6</v>
      </c>
    </row>
    <row r="67" spans="1:34" ht="35.25">
      <c r="A67" s="120"/>
      <c r="B67" s="1">
        <v>1170</v>
      </c>
      <c r="C67" s="91">
        <v>86.5</v>
      </c>
      <c r="D67" s="65">
        <f>76.7+3.3</f>
        <v>80</v>
      </c>
      <c r="E67" s="65">
        <v>18.4</v>
      </c>
      <c r="F67" s="39">
        <v>30</v>
      </c>
      <c r="G67" s="65">
        <f>74.7+3.3</f>
        <v>78</v>
      </c>
      <c r="H67" s="65">
        <v>32.8</v>
      </c>
      <c r="I67" s="39">
        <v>45</v>
      </c>
      <c r="J67" s="65">
        <f>72.9+3.3</f>
        <v>76.2</v>
      </c>
      <c r="K67" s="65">
        <v>47.2</v>
      </c>
      <c r="L67" s="2">
        <v>55</v>
      </c>
      <c r="M67" s="65">
        <f>71.4+3.3</f>
        <v>74.7</v>
      </c>
      <c r="N67" s="65">
        <v>61.6</v>
      </c>
      <c r="O67" s="2">
        <v>75</v>
      </c>
      <c r="P67" s="65">
        <f>70.1+3.3</f>
        <v>73.39999999999999</v>
      </c>
      <c r="Q67" s="65">
        <v>76</v>
      </c>
      <c r="R67" s="22">
        <v>90</v>
      </c>
      <c r="S67" s="95">
        <f>68.9+3.3</f>
        <v>72.2</v>
      </c>
      <c r="T67" s="74">
        <v>90.4</v>
      </c>
      <c r="U67" s="47">
        <v>110</v>
      </c>
      <c r="V67" s="74">
        <v>71</v>
      </c>
      <c r="W67" s="14">
        <v>105</v>
      </c>
      <c r="X67" s="20">
        <v>132</v>
      </c>
      <c r="Y67" s="24"/>
      <c r="Z67" s="2"/>
      <c r="AA67" s="2"/>
      <c r="AB67" s="2"/>
      <c r="AC67" s="2"/>
      <c r="AD67" s="2"/>
      <c r="AE67" s="2"/>
      <c r="AF67" s="2"/>
      <c r="AG67" s="2"/>
      <c r="AH67" s="2">
        <v>4</v>
      </c>
    </row>
    <row r="68" spans="1:34" ht="35.25">
      <c r="A68" s="120"/>
      <c r="B68" s="1">
        <v>1250</v>
      </c>
      <c r="C68" s="91">
        <v>92.4</v>
      </c>
      <c r="D68" s="65">
        <f>82.4+3.6</f>
        <v>86</v>
      </c>
      <c r="E68" s="65">
        <v>20.4</v>
      </c>
      <c r="F68" s="39">
        <v>30</v>
      </c>
      <c r="G68" s="65">
        <f>80.4+3.6</f>
        <v>84</v>
      </c>
      <c r="H68" s="65">
        <v>35.6</v>
      </c>
      <c r="I68" s="2">
        <v>45</v>
      </c>
      <c r="J68" s="65">
        <f>78.6+3.6</f>
        <v>82.19999999999999</v>
      </c>
      <c r="K68" s="65">
        <v>50.8</v>
      </c>
      <c r="L68" s="39">
        <v>75</v>
      </c>
      <c r="M68" s="65">
        <f>77.1+3.6</f>
        <v>80.69999999999999</v>
      </c>
      <c r="N68" s="65">
        <v>66.1</v>
      </c>
      <c r="O68" s="2">
        <v>75</v>
      </c>
      <c r="P68" s="65">
        <f>75.8+3.6</f>
        <v>79.39999999999999</v>
      </c>
      <c r="Q68" s="65">
        <v>81.3</v>
      </c>
      <c r="R68" s="22">
        <v>90</v>
      </c>
      <c r="S68" s="96">
        <f>74.5+3.6</f>
        <v>78.1</v>
      </c>
      <c r="T68" s="51">
        <v>96.6</v>
      </c>
      <c r="U68" s="22">
        <v>110</v>
      </c>
      <c r="V68" s="51">
        <v>76.9</v>
      </c>
      <c r="W68" s="2">
        <v>112</v>
      </c>
      <c r="X68" s="23">
        <v>132</v>
      </c>
      <c r="Y68" s="24"/>
      <c r="Z68" s="2"/>
      <c r="AA68" s="2"/>
      <c r="AB68" s="2"/>
      <c r="AC68" s="2"/>
      <c r="AD68" s="2"/>
      <c r="AE68" s="2"/>
      <c r="AF68" s="26"/>
      <c r="AG68" s="2"/>
      <c r="AH68" s="2">
        <v>4</v>
      </c>
    </row>
    <row r="69" spans="1:34" ht="36" thickBot="1">
      <c r="A69" s="120"/>
      <c r="B69" s="1">
        <v>1350</v>
      </c>
      <c r="C69" s="91">
        <v>99.9</v>
      </c>
      <c r="D69" s="65">
        <f>89.6+3.8</f>
        <v>93.39999999999999</v>
      </c>
      <c r="E69" s="65">
        <v>21.4</v>
      </c>
      <c r="F69" s="2">
        <v>30</v>
      </c>
      <c r="G69" s="65">
        <f>87.6+3.8</f>
        <v>91.39999999999999</v>
      </c>
      <c r="H69" s="65">
        <v>38.1</v>
      </c>
      <c r="I69" s="39">
        <v>55</v>
      </c>
      <c r="J69" s="65">
        <f>85.8+3.8</f>
        <v>89.6</v>
      </c>
      <c r="K69" s="65">
        <v>54.8</v>
      </c>
      <c r="L69" s="2">
        <v>75</v>
      </c>
      <c r="M69" s="65">
        <f>84.3+3.8</f>
        <v>88.1</v>
      </c>
      <c r="N69" s="65">
        <v>71.5</v>
      </c>
      <c r="O69" s="2">
        <v>90</v>
      </c>
      <c r="P69" s="65">
        <f>83+3.8</f>
        <v>86.8</v>
      </c>
      <c r="Q69" s="65">
        <v>88.2</v>
      </c>
      <c r="R69" s="22">
        <v>110</v>
      </c>
      <c r="S69" s="101">
        <f>81.8+3.8</f>
        <v>85.6</v>
      </c>
      <c r="T69" s="15">
        <v>105</v>
      </c>
      <c r="U69" s="48">
        <v>132</v>
      </c>
      <c r="V69" s="15"/>
      <c r="W69" s="15"/>
      <c r="X69" s="18"/>
      <c r="Y69" s="24"/>
      <c r="Z69" s="2"/>
      <c r="AA69" s="2"/>
      <c r="AB69" s="2"/>
      <c r="AC69" s="2"/>
      <c r="AD69" s="2"/>
      <c r="AE69" s="2"/>
      <c r="AF69" s="26"/>
      <c r="AG69" s="2"/>
      <c r="AH69" s="2">
        <v>4</v>
      </c>
    </row>
    <row r="70" spans="1:34" ht="42">
      <c r="A70" s="121"/>
      <c r="B70" s="10" t="s">
        <v>0</v>
      </c>
      <c r="C70" s="92">
        <v>107.2</v>
      </c>
      <c r="D70" s="3">
        <f>96.7+4</f>
        <v>100.7</v>
      </c>
      <c r="E70" s="67">
        <v>23.1</v>
      </c>
      <c r="F70" s="3">
        <v>30</v>
      </c>
      <c r="G70" s="67">
        <f>94.7+4</f>
        <v>98.7</v>
      </c>
      <c r="H70" s="67">
        <v>40.8</v>
      </c>
      <c r="I70" s="37">
        <v>55</v>
      </c>
      <c r="J70" s="67">
        <f>92.9+4</f>
        <v>96.9</v>
      </c>
      <c r="K70" s="67">
        <v>58.6</v>
      </c>
      <c r="L70" s="3">
        <v>75</v>
      </c>
      <c r="M70" s="67">
        <f>91.4+4</f>
        <v>95.4</v>
      </c>
      <c r="N70" s="67">
        <v>76.4</v>
      </c>
      <c r="O70" s="3">
        <v>90</v>
      </c>
      <c r="P70" s="67">
        <f>90.1+4</f>
        <v>94.1</v>
      </c>
      <c r="Q70" s="67">
        <v>94.2</v>
      </c>
      <c r="R70" s="3">
        <v>110</v>
      </c>
      <c r="S70" s="52">
        <f>88.9+4</f>
        <v>92.9</v>
      </c>
      <c r="T70" s="3">
        <v>112</v>
      </c>
      <c r="U70" s="16">
        <v>132</v>
      </c>
      <c r="V70" s="3">
        <v>91.6</v>
      </c>
      <c r="W70" s="3">
        <v>131</v>
      </c>
      <c r="X70" s="3">
        <v>160</v>
      </c>
      <c r="Y70" s="25"/>
      <c r="Z70" s="3"/>
      <c r="AA70" s="3"/>
      <c r="AB70" s="3"/>
      <c r="AC70" s="3"/>
      <c r="AD70" s="3"/>
      <c r="AE70" s="3"/>
      <c r="AF70" s="27"/>
      <c r="AG70" s="3"/>
      <c r="AH70" s="3">
        <v>4</v>
      </c>
    </row>
    <row r="71" spans="1:34" ht="45.75">
      <c r="A71" s="53"/>
      <c r="B71" s="54"/>
      <c r="C71" s="55"/>
      <c r="D71" s="56"/>
      <c r="E71" s="56"/>
      <c r="F71" s="56"/>
      <c r="G71" s="56"/>
      <c r="H71" s="56"/>
      <c r="I71" s="57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8"/>
      <c r="AG71" s="56"/>
      <c r="AH71" s="56"/>
    </row>
    <row r="72" spans="1:15" ht="48">
      <c r="A72" s="7" t="s">
        <v>16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48">
      <c r="A73" s="8" t="s">
        <v>13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34" ht="48">
      <c r="A74" s="103" t="s">
        <v>12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</row>
    <row r="75" ht="48">
      <c r="A75" s="8" t="s">
        <v>14</v>
      </c>
    </row>
  </sheetData>
  <mergeCells count="40">
    <mergeCell ref="A42:AH42"/>
    <mergeCell ref="A28:A32"/>
    <mergeCell ref="A22:A27"/>
    <mergeCell ref="A16:A21"/>
    <mergeCell ref="AE4:AG4"/>
    <mergeCell ref="A11:A15"/>
    <mergeCell ref="A6:A10"/>
    <mergeCell ref="M4:O4"/>
    <mergeCell ref="P4:R4"/>
    <mergeCell ref="A4:A5"/>
    <mergeCell ref="S4:U4"/>
    <mergeCell ref="D2:AG2"/>
    <mergeCell ref="D3:AG3"/>
    <mergeCell ref="A1:AH1"/>
    <mergeCell ref="D4:F4"/>
    <mergeCell ref="G4:I4"/>
    <mergeCell ref="J4:L4"/>
    <mergeCell ref="AB4:AD4"/>
    <mergeCell ref="Y4:AA4"/>
    <mergeCell ref="V4:X4"/>
    <mergeCell ref="A2:A3"/>
    <mergeCell ref="S45:U45"/>
    <mergeCell ref="A59:A64"/>
    <mergeCell ref="A65:A70"/>
    <mergeCell ref="AE45:AG45"/>
    <mergeCell ref="Y45:AA45"/>
    <mergeCell ref="AB45:AD45"/>
    <mergeCell ref="A47:A52"/>
    <mergeCell ref="V45:X45"/>
    <mergeCell ref="A53:A58"/>
    <mergeCell ref="A74:AH74"/>
    <mergeCell ref="A45:A46"/>
    <mergeCell ref="A43:A44"/>
    <mergeCell ref="D43:AG43"/>
    <mergeCell ref="D44:AG44"/>
    <mergeCell ref="D45:F45"/>
    <mergeCell ref="G45:I45"/>
    <mergeCell ref="J45:L45"/>
    <mergeCell ref="M45:O45"/>
    <mergeCell ref="P45:R45"/>
  </mergeCells>
  <printOptions/>
  <pageMargins left="0.6" right="0.31" top="0.81" bottom="0.59" header="0.5118110236220472" footer="0.5118110236220472"/>
  <pageSetup horizontalDpi="300" verticalDpi="3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微软用户</cp:lastModifiedBy>
  <cp:lastPrinted>2008-07-28T07:14:37Z</cp:lastPrinted>
  <dcterms:created xsi:type="dcterms:W3CDTF">1999-04-26T02:03:26Z</dcterms:created>
  <dcterms:modified xsi:type="dcterms:W3CDTF">2009-02-25T00:53:25Z</dcterms:modified>
  <cp:category/>
  <cp:version/>
  <cp:contentType/>
  <cp:contentStatus/>
</cp:coreProperties>
</file>